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vsoradgjof.sharepoint.com/sites/workpoint/Project740/Documents/3 Greining/Inn á onedrive/"/>
    </mc:Choice>
  </mc:AlternateContent>
  <xr:revisionPtr revIDLastSave="10" documentId="8_{AB8A2360-E256-4711-B3F5-E8AEA32B9BFE}" xr6:coauthVersionLast="45" xr6:coauthVersionMax="45" xr10:uidLastSave="{C0A99F20-450A-40DE-BD14-46E4220B504B}"/>
  <bookViews>
    <workbookView xWindow="-120" yWindow="-120" windowWidth="29040" windowHeight="15840" xr2:uid="{9ADE88A8-FB1E-49C4-B1F2-E3A4B4BAB57E}"/>
  </bookViews>
  <sheets>
    <sheet name="THROUNARAÆTLUN ATV" sheetId="11" r:id="rId1"/>
    <sheet name="ALLT ATVHUSN" sheetId="3" r:id="rId2"/>
    <sheet name="VERSL_OG_SKRIFSTH" sheetId="6" r:id="rId3"/>
    <sheet name="IÐN_OG_VÖRUGEY" sheetId="7" r:id="rId4"/>
    <sheet name="SERHÆFT" sheetId="8" r:id="rId5"/>
    <sheet name="grunnur" sheetId="5" r:id="rId6"/>
    <sheet name="samantekt skapalóna" sheetId="9" r:id="rId7"/>
  </sheets>
  <definedNames>
    <definedName name="_xlnm._FilterDatabase" localSheetId="1" hidden="1">grunnur!$B$4:$AF$31</definedName>
    <definedName name="_xlnm._FilterDatabase" localSheetId="3" hidden="1">grunnur!$B$4:$AF$31</definedName>
    <definedName name="_xlnm._FilterDatabase" localSheetId="4" hidden="1">grunnur!$B$4:$AF$31</definedName>
    <definedName name="_xlnm._FilterDatabase" localSheetId="2" hidden="1">grunnur!$B$4:$AF$31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7" i="9" l="1"/>
  <c r="K18" i="9"/>
  <c r="K19" i="9"/>
  <c r="K16" i="9"/>
  <c r="J34" i="11" l="1"/>
  <c r="D23" i="11" l="1"/>
  <c r="D22" i="11"/>
  <c r="D21" i="11"/>
  <c r="D20" i="11"/>
  <c r="D19" i="11"/>
  <c r="D18" i="11"/>
  <c r="D17" i="11"/>
  <c r="D16" i="11"/>
  <c r="N34" i="11"/>
  <c r="L34" i="11"/>
  <c r="G37" i="3" l="1"/>
  <c r="J20" i="9" l="1"/>
  <c r="K11" i="9" l="1"/>
  <c r="K7" i="9"/>
  <c r="K12" i="9"/>
  <c r="K10" i="9"/>
  <c r="K5" i="9"/>
  <c r="K8" i="9"/>
  <c r="K6" i="9"/>
  <c r="K9" i="9"/>
  <c r="J32" i="9"/>
  <c r="K22" i="11" s="1"/>
  <c r="J31" i="9"/>
  <c r="J22" i="11" s="1"/>
  <c r="J30" i="9"/>
  <c r="I22" i="11" s="1"/>
  <c r="J29" i="9"/>
  <c r="J28" i="9"/>
  <c r="G22" i="11" s="1"/>
  <c r="J27" i="9"/>
  <c r="F22" i="11" s="1"/>
  <c r="J26" i="9"/>
  <c r="E22" i="11" s="1"/>
  <c r="J42" i="9"/>
  <c r="J40" i="9"/>
  <c r="H34" i="11" s="1"/>
  <c r="J39" i="9"/>
  <c r="G34" i="11" s="1"/>
  <c r="J38" i="9"/>
  <c r="F34" i="11" s="1"/>
  <c r="J37" i="9"/>
  <c r="E34" i="11" s="1"/>
  <c r="J36" i="9"/>
  <c r="D34" i="11" s="1"/>
  <c r="D36" i="9"/>
  <c r="D28" i="11" s="1"/>
  <c r="D42" i="9"/>
  <c r="D40" i="9"/>
  <c r="H28" i="11" s="1"/>
  <c r="D39" i="9"/>
  <c r="G28" i="11" s="1"/>
  <c r="D38" i="9"/>
  <c r="F28" i="11" s="1"/>
  <c r="D37" i="9"/>
  <c r="E28" i="11" s="1"/>
  <c r="D31" i="9"/>
  <c r="J16" i="11" s="1"/>
  <c r="D30" i="9"/>
  <c r="I16" i="11" s="1"/>
  <c r="D29" i="9"/>
  <c r="H16" i="11" s="1"/>
  <c r="D26" i="9"/>
  <c r="E16" i="11" s="1"/>
  <c r="D32" i="9"/>
  <c r="K16" i="11" s="1"/>
  <c r="D28" i="9"/>
  <c r="G16" i="11" s="1"/>
  <c r="D27" i="9"/>
  <c r="F16" i="11" s="1"/>
  <c r="M35" i="11"/>
  <c r="K35" i="11"/>
  <c r="M34" i="11"/>
  <c r="K34" i="11"/>
  <c r="M33" i="11"/>
  <c r="M32" i="11"/>
  <c r="M31" i="11"/>
  <c r="M30" i="11"/>
  <c r="M29" i="11"/>
  <c r="M28" i="11"/>
  <c r="K33" i="11"/>
  <c r="K32" i="11"/>
  <c r="K31" i="11"/>
  <c r="K30" i="11"/>
  <c r="K29" i="11"/>
  <c r="K28" i="11"/>
  <c r="G38" i="3"/>
  <c r="H38" i="3"/>
  <c r="H39" i="3"/>
  <c r="H40" i="3"/>
  <c r="H41" i="3"/>
  <c r="H42" i="3"/>
  <c r="H43" i="3"/>
  <c r="H44" i="3"/>
  <c r="H37" i="3"/>
  <c r="G44" i="3"/>
  <c r="G39" i="3"/>
  <c r="G40" i="3"/>
  <c r="G41" i="3"/>
  <c r="G42" i="3"/>
  <c r="G43" i="3"/>
  <c r="F37" i="3"/>
  <c r="J28" i="11" l="1"/>
  <c r="L28" i="11" s="1"/>
  <c r="I28" i="11"/>
  <c r="N28" i="11"/>
  <c r="I34" i="11"/>
  <c r="J41" i="9"/>
  <c r="L66" i="3" s="1"/>
  <c r="J33" i="9"/>
  <c r="L22" i="11" s="1"/>
  <c r="M22" i="11" s="1"/>
  <c r="H22" i="11"/>
  <c r="D41" i="9"/>
  <c r="D33" i="9"/>
  <c r="L16" i="11" s="1"/>
  <c r="M16" i="11" s="1"/>
  <c r="I37" i="9"/>
  <c r="E33" i="11" s="1"/>
  <c r="I38" i="9"/>
  <c r="F33" i="11" s="1"/>
  <c r="I39" i="9"/>
  <c r="G33" i="11" s="1"/>
  <c r="L60" i="3" l="1"/>
  <c r="I40" i="9"/>
  <c r="H33" i="11" s="1"/>
  <c r="I33" i="11" s="1"/>
  <c r="J33" i="11" l="1"/>
  <c r="I42" i="9"/>
  <c r="I36" i="9"/>
  <c r="H42" i="9"/>
  <c r="H40" i="9"/>
  <c r="H32" i="11" s="1"/>
  <c r="H39" i="9"/>
  <c r="G32" i="11" s="1"/>
  <c r="H38" i="9"/>
  <c r="F32" i="11" s="1"/>
  <c r="H37" i="9"/>
  <c r="E32" i="11" s="1"/>
  <c r="H36" i="9"/>
  <c r="I32" i="11" l="1"/>
  <c r="J32" i="11"/>
  <c r="N33" i="11"/>
  <c r="L33" i="11"/>
  <c r="D33" i="11"/>
  <c r="I41" i="9"/>
  <c r="L65" i="3" s="1"/>
  <c r="H41" i="9"/>
  <c r="L64" i="3" s="1"/>
  <c r="D32" i="11"/>
  <c r="I32" i="9"/>
  <c r="K21" i="11" s="1"/>
  <c r="I31" i="9"/>
  <c r="J21" i="11" s="1"/>
  <c r="I30" i="9"/>
  <c r="I21" i="11" s="1"/>
  <c r="I29" i="9"/>
  <c r="H21" i="11" s="1"/>
  <c r="I28" i="9"/>
  <c r="G21" i="11" s="1"/>
  <c r="I27" i="9"/>
  <c r="F21" i="11" s="1"/>
  <c r="I26" i="9"/>
  <c r="L32" i="11" l="1"/>
  <c r="N32" i="11"/>
  <c r="E21" i="11"/>
  <c r="I33" i="9"/>
  <c r="L21" i="11" s="1"/>
  <c r="M21" i="11" s="1"/>
  <c r="H32" i="9"/>
  <c r="K20" i="11" s="1"/>
  <c r="H31" i="9"/>
  <c r="J20" i="11" s="1"/>
  <c r="H30" i="9"/>
  <c r="I20" i="11" s="1"/>
  <c r="H29" i="9"/>
  <c r="H20" i="11" s="1"/>
  <c r="H28" i="9"/>
  <c r="G20" i="11" s="1"/>
  <c r="H27" i="9"/>
  <c r="F20" i="11" s="1"/>
  <c r="H26" i="9"/>
  <c r="G42" i="9"/>
  <c r="G40" i="9"/>
  <c r="H31" i="11" s="1"/>
  <c r="G39" i="9"/>
  <c r="G31" i="11" s="1"/>
  <c r="G38" i="9"/>
  <c r="F31" i="11" s="1"/>
  <c r="G37" i="9"/>
  <c r="E31" i="11" s="1"/>
  <c r="J31" i="11" s="1"/>
  <c r="G36" i="9"/>
  <c r="G32" i="9"/>
  <c r="K19" i="11" s="1"/>
  <c r="G31" i="9"/>
  <c r="J19" i="11" s="1"/>
  <c r="G30" i="9"/>
  <c r="I19" i="11" s="1"/>
  <c r="G29" i="9"/>
  <c r="H19" i="11" s="1"/>
  <c r="G28" i="9"/>
  <c r="G19" i="11" s="1"/>
  <c r="G27" i="9"/>
  <c r="F19" i="11" s="1"/>
  <c r="G26" i="9"/>
  <c r="F42" i="9"/>
  <c r="F40" i="9"/>
  <c r="H30" i="11" s="1"/>
  <c r="F39" i="9"/>
  <c r="G30" i="11" s="1"/>
  <c r="F38" i="9"/>
  <c r="F30" i="11" s="1"/>
  <c r="F37" i="9"/>
  <c r="E30" i="11" s="1"/>
  <c r="F36" i="9"/>
  <c r="F32" i="9"/>
  <c r="K18" i="11" s="1"/>
  <c r="F31" i="9"/>
  <c r="J18" i="11" s="1"/>
  <c r="F30" i="9"/>
  <c r="I18" i="11" s="1"/>
  <c r="F29" i="9"/>
  <c r="H18" i="11" s="1"/>
  <c r="F28" i="9"/>
  <c r="G18" i="11" s="1"/>
  <c r="F27" i="9"/>
  <c r="F18" i="11" s="1"/>
  <c r="F26" i="9"/>
  <c r="L31" i="11" l="1"/>
  <c r="N31" i="11"/>
  <c r="J30" i="11"/>
  <c r="I30" i="11"/>
  <c r="I31" i="11"/>
  <c r="F41" i="9"/>
  <c r="D30" i="11"/>
  <c r="F33" i="9"/>
  <c r="L18" i="11" s="1"/>
  <c r="M18" i="11" s="1"/>
  <c r="E18" i="11"/>
  <c r="E20" i="11"/>
  <c r="H33" i="9"/>
  <c r="L20" i="11" s="1"/>
  <c r="M20" i="11" s="1"/>
  <c r="E19" i="11"/>
  <c r="G33" i="9"/>
  <c r="L19" i="11" s="1"/>
  <c r="M19" i="11" s="1"/>
  <c r="G41" i="9"/>
  <c r="D31" i="11"/>
  <c r="E32" i="9"/>
  <c r="K17" i="11" s="1"/>
  <c r="E31" i="9"/>
  <c r="J17" i="11" s="1"/>
  <c r="E30" i="9"/>
  <c r="I17" i="11" s="1"/>
  <c r="E29" i="9"/>
  <c r="E28" i="9"/>
  <c r="G17" i="11" s="1"/>
  <c r="E27" i="9"/>
  <c r="F17" i="11" s="1"/>
  <c r="E26" i="9"/>
  <c r="E17" i="11" s="1"/>
  <c r="L63" i="3" l="1"/>
  <c r="N30" i="11"/>
  <c r="L30" i="11"/>
  <c r="L62" i="3"/>
  <c r="E33" i="9"/>
  <c r="L17" i="11" s="1"/>
  <c r="M17" i="11" s="1"/>
  <c r="H17" i="11"/>
  <c r="K31" i="9"/>
  <c r="J23" i="11" s="1"/>
  <c r="K32" i="9"/>
  <c r="K23" i="11" s="1"/>
  <c r="K27" i="9" l="1"/>
  <c r="F23" i="11" s="1"/>
  <c r="K26" i="9"/>
  <c r="K29" i="9"/>
  <c r="H23" i="11" s="1"/>
  <c r="K28" i="9"/>
  <c r="G23" i="11" s="1"/>
  <c r="K30" i="9"/>
  <c r="I23" i="11" s="1"/>
  <c r="G4" i="8"/>
  <c r="H4" i="8"/>
  <c r="I4" i="8"/>
  <c r="I15" i="8" s="1"/>
  <c r="I26" i="8" s="1"/>
  <c r="J4" i="8"/>
  <c r="J15" i="8" s="1"/>
  <c r="J26" i="8" s="1"/>
  <c r="K4" i="8"/>
  <c r="L4" i="8"/>
  <c r="M4" i="8"/>
  <c r="M15" i="8" s="1"/>
  <c r="M26" i="8" s="1"/>
  <c r="N4" i="8"/>
  <c r="N15" i="8" s="1"/>
  <c r="O4" i="8"/>
  <c r="P4" i="8"/>
  <c r="Q4" i="8"/>
  <c r="H60" i="8" s="1"/>
  <c r="R4" i="8"/>
  <c r="R15" i="8" s="1"/>
  <c r="R26" i="8" s="1"/>
  <c r="S4" i="8"/>
  <c r="T4" i="8"/>
  <c r="U4" i="8"/>
  <c r="U15" i="8" s="1"/>
  <c r="V4" i="8"/>
  <c r="I60" i="8" s="1"/>
  <c r="W4" i="8"/>
  <c r="X4" i="8"/>
  <c r="Y4" i="8"/>
  <c r="Y15" i="8" s="1"/>
  <c r="Y26" i="8" s="1"/>
  <c r="Z4" i="8"/>
  <c r="Z15" i="8" s="1"/>
  <c r="Z26" i="8" s="1"/>
  <c r="AA4" i="8"/>
  <c r="AB4" i="8"/>
  <c r="AC4" i="8"/>
  <c r="AC15" i="8" s="1"/>
  <c r="AC26" i="8" s="1"/>
  <c r="AD4" i="8"/>
  <c r="AD15" i="8" s="1"/>
  <c r="AD26" i="8" s="1"/>
  <c r="AE4" i="8"/>
  <c r="AF4" i="8"/>
  <c r="G5" i="8"/>
  <c r="F61" i="8" s="1"/>
  <c r="H5" i="8"/>
  <c r="I16" i="8" s="1"/>
  <c r="I27" i="8" s="1"/>
  <c r="I5" i="8"/>
  <c r="J5" i="8"/>
  <c r="K5" i="8"/>
  <c r="L5" i="8"/>
  <c r="G61" i="8" s="1"/>
  <c r="M5" i="8"/>
  <c r="N5" i="8"/>
  <c r="O5" i="8"/>
  <c r="P5" i="8"/>
  <c r="Q16" i="8" s="1"/>
  <c r="Q5" i="8"/>
  <c r="R5" i="8"/>
  <c r="S5" i="8"/>
  <c r="T5" i="8"/>
  <c r="T11" i="8" s="1"/>
  <c r="U5" i="8"/>
  <c r="V5" i="8"/>
  <c r="W5" i="8"/>
  <c r="W16" i="8" s="1"/>
  <c r="W27" i="8" s="1"/>
  <c r="X5" i="8"/>
  <c r="Y16" i="8" s="1"/>
  <c r="Y27" i="8" s="1"/>
  <c r="Y5" i="8"/>
  <c r="Z5" i="8"/>
  <c r="AA5" i="8"/>
  <c r="J61" i="8" s="1"/>
  <c r="AB5" i="8"/>
  <c r="AB16" i="8" s="1"/>
  <c r="AB27" i="8" s="1"/>
  <c r="AC5" i="8"/>
  <c r="AD5" i="8"/>
  <c r="AE5" i="8"/>
  <c r="AF5" i="8"/>
  <c r="K61" i="8" s="1"/>
  <c r="G6" i="8"/>
  <c r="H6" i="8"/>
  <c r="I6" i="8"/>
  <c r="J6" i="8"/>
  <c r="J17" i="8" s="1"/>
  <c r="J28" i="8" s="1"/>
  <c r="K6" i="8"/>
  <c r="L6" i="8"/>
  <c r="M6" i="8"/>
  <c r="N6" i="8"/>
  <c r="N17" i="8" s="1"/>
  <c r="O6" i="8"/>
  <c r="P6" i="8"/>
  <c r="Q6" i="8"/>
  <c r="R6" i="8"/>
  <c r="S6" i="8"/>
  <c r="T6" i="8"/>
  <c r="U6" i="8"/>
  <c r="V6" i="8"/>
  <c r="V17" i="8" s="1"/>
  <c r="V28" i="8" s="1"/>
  <c r="W6" i="8"/>
  <c r="X6" i="8"/>
  <c r="Y6" i="8"/>
  <c r="Z6" i="8"/>
  <c r="AA6" i="8"/>
  <c r="AB6" i="8"/>
  <c r="AC6" i="8"/>
  <c r="AD6" i="8"/>
  <c r="AE6" i="8"/>
  <c r="AF6" i="8"/>
  <c r="G7" i="8"/>
  <c r="H7" i="8"/>
  <c r="I18" i="8" s="1"/>
  <c r="I29" i="8" s="1"/>
  <c r="I7" i="8"/>
  <c r="J7" i="8"/>
  <c r="K7" i="8"/>
  <c r="L7" i="8"/>
  <c r="M18" i="8" s="1"/>
  <c r="M29" i="8" s="1"/>
  <c r="M7" i="8"/>
  <c r="N7" i="8"/>
  <c r="N18" i="8" s="1"/>
  <c r="O7" i="8"/>
  <c r="P7" i="8"/>
  <c r="Q7" i="8"/>
  <c r="R7" i="8"/>
  <c r="S7" i="8"/>
  <c r="T7" i="8"/>
  <c r="U18" i="8" s="1"/>
  <c r="U29" i="8" s="1"/>
  <c r="U7" i="8"/>
  <c r="V7" i="8"/>
  <c r="I63" i="8" s="1"/>
  <c r="W7" i="8"/>
  <c r="X7" i="8"/>
  <c r="Y18" i="8" s="1"/>
  <c r="Y29" i="8" s="1"/>
  <c r="Y7" i="8"/>
  <c r="Z7" i="8"/>
  <c r="AA7" i="8"/>
  <c r="AB7" i="8"/>
  <c r="AC18" i="8" s="1"/>
  <c r="AC29" i="8" s="1"/>
  <c r="AC7" i="8"/>
  <c r="AD7" i="8"/>
  <c r="AE7" i="8"/>
  <c r="AF7" i="8"/>
  <c r="G8" i="8"/>
  <c r="H8" i="8"/>
  <c r="I8" i="8"/>
  <c r="J8" i="8"/>
  <c r="J19" i="8" s="1"/>
  <c r="J30" i="8" s="1"/>
  <c r="K8" i="8"/>
  <c r="L8" i="8"/>
  <c r="G64" i="8" s="1"/>
  <c r="M8" i="8"/>
  <c r="N8" i="8"/>
  <c r="O8" i="8"/>
  <c r="P8" i="8"/>
  <c r="Q8" i="8"/>
  <c r="R8" i="8"/>
  <c r="R19" i="8" s="1"/>
  <c r="R30" i="8" s="1"/>
  <c r="S8" i="8"/>
  <c r="T8" i="8"/>
  <c r="T19" i="8" s="1"/>
  <c r="T30" i="8" s="1"/>
  <c r="U8" i="8"/>
  <c r="V8" i="8"/>
  <c r="W8" i="8"/>
  <c r="X8" i="8"/>
  <c r="Y8" i="8"/>
  <c r="Z8" i="8"/>
  <c r="AA8" i="8"/>
  <c r="AB8" i="8"/>
  <c r="AC8" i="8"/>
  <c r="AD8" i="8"/>
  <c r="AD19" i="8" s="1"/>
  <c r="AD30" i="8" s="1"/>
  <c r="AE8" i="8"/>
  <c r="AF8" i="8"/>
  <c r="K64" i="8" s="1"/>
  <c r="G9" i="8"/>
  <c r="H9" i="8"/>
  <c r="I9" i="8"/>
  <c r="J9" i="8"/>
  <c r="K9" i="8"/>
  <c r="K20" i="8" s="1"/>
  <c r="K31" i="8" s="1"/>
  <c r="L9" i="8"/>
  <c r="M20" i="8" s="1"/>
  <c r="M31" i="8" s="1"/>
  <c r="M9" i="8"/>
  <c r="N9" i="8"/>
  <c r="N20" i="8" s="1"/>
  <c r="O9" i="8"/>
  <c r="P9" i="8"/>
  <c r="Q9" i="8"/>
  <c r="R9" i="8"/>
  <c r="S9" i="8"/>
  <c r="S20" i="8" s="1"/>
  <c r="S31" i="8" s="1"/>
  <c r="T9" i="8"/>
  <c r="U20" i="8" s="1"/>
  <c r="U9" i="8"/>
  <c r="V9" i="8"/>
  <c r="W9" i="8"/>
  <c r="X9" i="8"/>
  <c r="Y20" i="8" s="1"/>
  <c r="Y31" i="8" s="1"/>
  <c r="Y9" i="8"/>
  <c r="Z9" i="8"/>
  <c r="Z20" i="8" s="1"/>
  <c r="Z31" i="8" s="1"/>
  <c r="AA9" i="8"/>
  <c r="AB9" i="8"/>
  <c r="AC9" i="8"/>
  <c r="AD9" i="8"/>
  <c r="AE9" i="8"/>
  <c r="AF9" i="8"/>
  <c r="G10" i="8"/>
  <c r="H10" i="8"/>
  <c r="I10" i="8"/>
  <c r="J10" i="8"/>
  <c r="J21" i="8" s="1"/>
  <c r="J32" i="8" s="1"/>
  <c r="K10" i="8"/>
  <c r="L10" i="8"/>
  <c r="M10" i="8"/>
  <c r="N10" i="8"/>
  <c r="O21" i="8" s="1"/>
  <c r="O32" i="8" s="1"/>
  <c r="O10" i="8"/>
  <c r="P10" i="8"/>
  <c r="Q10" i="8"/>
  <c r="R10" i="8"/>
  <c r="S21" i="8" s="1"/>
  <c r="S32" i="8" s="1"/>
  <c r="S10" i="8"/>
  <c r="T10" i="8"/>
  <c r="T21" i="8" s="1"/>
  <c r="T32" i="8" s="1"/>
  <c r="U10" i="8"/>
  <c r="V10" i="8"/>
  <c r="W10" i="8"/>
  <c r="X10" i="8"/>
  <c r="Y10" i="8"/>
  <c r="Z10" i="8"/>
  <c r="Z21" i="8" s="1"/>
  <c r="Z32" i="8" s="1"/>
  <c r="AA10" i="8"/>
  <c r="AB10" i="8"/>
  <c r="AB21" i="8" s="1"/>
  <c r="AB32" i="8" s="1"/>
  <c r="AC10" i="8"/>
  <c r="AD10" i="8"/>
  <c r="AE21" i="8" s="1"/>
  <c r="AE32" i="8" s="1"/>
  <c r="AE10" i="8"/>
  <c r="AF10" i="8"/>
  <c r="F10" i="8"/>
  <c r="F9" i="8"/>
  <c r="F8" i="8"/>
  <c r="F7" i="8"/>
  <c r="F6" i="8"/>
  <c r="F5" i="8"/>
  <c r="F4" i="8"/>
  <c r="G15" i="8" s="1"/>
  <c r="AD20" i="8"/>
  <c r="AD31" i="8" s="1"/>
  <c r="X19" i="8"/>
  <c r="H19" i="8"/>
  <c r="H30" i="8" s="1"/>
  <c r="AD17" i="8"/>
  <c r="AD28" i="8" s="1"/>
  <c r="G17" i="8"/>
  <c r="AC16" i="8"/>
  <c r="AC27" i="8" s="1"/>
  <c r="M16" i="8"/>
  <c r="M27" i="8" s="1"/>
  <c r="K66" i="8"/>
  <c r="X21" i="8"/>
  <c r="W21" i="8"/>
  <c r="W32" i="8" s="1"/>
  <c r="P21" i="8"/>
  <c r="P32" i="8" s="1"/>
  <c r="G66" i="8"/>
  <c r="K21" i="8"/>
  <c r="K32" i="8" s="1"/>
  <c r="H21" i="8"/>
  <c r="H32" i="8" s="1"/>
  <c r="AE20" i="8"/>
  <c r="AE31" i="8" s="1"/>
  <c r="AC20" i="8"/>
  <c r="AC31" i="8" s="1"/>
  <c r="W20" i="8"/>
  <c r="W31" i="8" s="1"/>
  <c r="I65" i="8"/>
  <c r="R20" i="8"/>
  <c r="R31" i="8" s="1"/>
  <c r="O20" i="8"/>
  <c r="O31" i="8" s="1"/>
  <c r="J20" i="8"/>
  <c r="J31" i="8" s="1"/>
  <c r="I20" i="8"/>
  <c r="I31" i="8" s="1"/>
  <c r="AB19" i="8"/>
  <c r="AB30" i="8" s="1"/>
  <c r="Z19" i="8"/>
  <c r="Z30" i="8" s="1"/>
  <c r="P19" i="8"/>
  <c r="P30" i="8" s="1"/>
  <c r="N19" i="8"/>
  <c r="AE18" i="8"/>
  <c r="AE29" i="8" s="1"/>
  <c r="AD18" i="8"/>
  <c r="AD29" i="8" s="1"/>
  <c r="Z18" i="8"/>
  <c r="Z29" i="8" s="1"/>
  <c r="W18" i="8"/>
  <c r="W29" i="8" s="1"/>
  <c r="S18" i="8"/>
  <c r="S29" i="8" s="1"/>
  <c r="O18" i="8"/>
  <c r="O29" i="8" s="1"/>
  <c r="K18" i="8"/>
  <c r="K29" i="8" s="1"/>
  <c r="J18" i="8"/>
  <c r="J29" i="8" s="1"/>
  <c r="K62" i="8"/>
  <c r="AB17" i="8"/>
  <c r="AB28" i="8" s="1"/>
  <c r="Z17" i="8"/>
  <c r="Z28" i="8" s="1"/>
  <c r="X17" i="8"/>
  <c r="T17" i="8"/>
  <c r="T28" i="8" s="1"/>
  <c r="R17" i="8"/>
  <c r="R28" i="8" s="1"/>
  <c r="P17" i="8"/>
  <c r="P28" i="8" s="1"/>
  <c r="G62" i="8"/>
  <c r="H17" i="8"/>
  <c r="H28" i="8" s="1"/>
  <c r="F62" i="8"/>
  <c r="AE16" i="8"/>
  <c r="AE27" i="8" s="1"/>
  <c r="AD16" i="8"/>
  <c r="AD27" i="8" s="1"/>
  <c r="Z16" i="8"/>
  <c r="Z27" i="8" s="1"/>
  <c r="X16" i="8"/>
  <c r="I61" i="8"/>
  <c r="S16" i="8"/>
  <c r="S27" i="8" s="1"/>
  <c r="R16" i="8"/>
  <c r="R27" i="8" s="1"/>
  <c r="H61" i="8"/>
  <c r="O16" i="8"/>
  <c r="O27" i="8" s="1"/>
  <c r="N16" i="8"/>
  <c r="K16" i="8"/>
  <c r="K27" i="8" s="1"/>
  <c r="J16" i="8"/>
  <c r="J27" i="8" s="1"/>
  <c r="K60" i="8"/>
  <c r="AE11" i="8"/>
  <c r="J60" i="8"/>
  <c r="W11" i="8"/>
  <c r="S11" i="8"/>
  <c r="O11" i="8"/>
  <c r="G60" i="8"/>
  <c r="K11" i="8"/>
  <c r="F60" i="8"/>
  <c r="K66" i="7"/>
  <c r="J66" i="7"/>
  <c r="J78" i="7" s="1"/>
  <c r="I66" i="7"/>
  <c r="H66" i="7"/>
  <c r="G66" i="7"/>
  <c r="F66" i="7"/>
  <c r="K65" i="7"/>
  <c r="J65" i="7"/>
  <c r="I65" i="7"/>
  <c r="H65" i="7"/>
  <c r="G65" i="7"/>
  <c r="F65" i="7"/>
  <c r="K64" i="7"/>
  <c r="J64" i="7"/>
  <c r="I64" i="7"/>
  <c r="H64" i="7"/>
  <c r="G64" i="7"/>
  <c r="F64" i="7"/>
  <c r="K63" i="7"/>
  <c r="J63" i="7"/>
  <c r="I63" i="7"/>
  <c r="H63" i="7"/>
  <c r="G63" i="7"/>
  <c r="F63" i="7"/>
  <c r="K62" i="7"/>
  <c r="J62" i="7"/>
  <c r="I62" i="7"/>
  <c r="H62" i="7"/>
  <c r="G62" i="7"/>
  <c r="F62" i="7"/>
  <c r="K61" i="7"/>
  <c r="K67" i="7" s="1"/>
  <c r="J61" i="7"/>
  <c r="I61" i="7"/>
  <c r="H61" i="7"/>
  <c r="G61" i="7"/>
  <c r="F61" i="7"/>
  <c r="K60" i="7"/>
  <c r="J60" i="7"/>
  <c r="J67" i="7" s="1"/>
  <c r="I60" i="7"/>
  <c r="I67" i="7" s="1"/>
  <c r="H60" i="7"/>
  <c r="H67" i="7" s="1"/>
  <c r="G60" i="7"/>
  <c r="F60" i="7"/>
  <c r="F67" i="7" s="1"/>
  <c r="K66" i="6"/>
  <c r="J66" i="6"/>
  <c r="I66" i="6"/>
  <c r="H66" i="6"/>
  <c r="G66" i="6"/>
  <c r="F66" i="6"/>
  <c r="K65" i="6"/>
  <c r="J65" i="6"/>
  <c r="I65" i="6"/>
  <c r="H65" i="6"/>
  <c r="G65" i="6"/>
  <c r="F65" i="6"/>
  <c r="K64" i="6"/>
  <c r="J64" i="6"/>
  <c r="I64" i="6"/>
  <c r="H64" i="6"/>
  <c r="G64" i="6"/>
  <c r="F64" i="6"/>
  <c r="K63" i="6"/>
  <c r="J63" i="6"/>
  <c r="I63" i="6"/>
  <c r="H63" i="6"/>
  <c r="G63" i="6"/>
  <c r="F63" i="6"/>
  <c r="K62" i="6"/>
  <c r="J62" i="6"/>
  <c r="I62" i="6"/>
  <c r="H62" i="6"/>
  <c r="G62" i="6"/>
  <c r="F62" i="6"/>
  <c r="K61" i="6"/>
  <c r="J61" i="6"/>
  <c r="I61" i="6"/>
  <c r="H61" i="6"/>
  <c r="G61" i="6"/>
  <c r="F61" i="6"/>
  <c r="K60" i="6"/>
  <c r="K67" i="6" s="1"/>
  <c r="J60" i="6"/>
  <c r="I60" i="6"/>
  <c r="H60" i="6"/>
  <c r="G60" i="6"/>
  <c r="G67" i="6" s="1"/>
  <c r="F60" i="6"/>
  <c r="H68" i="3"/>
  <c r="I68" i="3"/>
  <c r="J68" i="3"/>
  <c r="K68" i="3"/>
  <c r="G68" i="3"/>
  <c r="K64" i="3"/>
  <c r="AF10" i="7"/>
  <c r="AE10" i="7"/>
  <c r="AD10" i="7"/>
  <c r="AC10" i="7"/>
  <c r="AB10" i="7"/>
  <c r="AA10" i="7"/>
  <c r="Z10" i="7"/>
  <c r="Y10" i="7"/>
  <c r="Z21" i="7" s="1"/>
  <c r="Z32" i="7" s="1"/>
  <c r="X10" i="7"/>
  <c r="W10" i="7"/>
  <c r="V10" i="7"/>
  <c r="U10" i="7"/>
  <c r="T10" i="7"/>
  <c r="S10" i="7"/>
  <c r="R10" i="7"/>
  <c r="Q10" i="7"/>
  <c r="R21" i="7" s="1"/>
  <c r="R32" i="7" s="1"/>
  <c r="P10" i="7"/>
  <c r="O10" i="7"/>
  <c r="N10" i="7"/>
  <c r="M10" i="7"/>
  <c r="N21" i="7" s="1"/>
  <c r="L10" i="7"/>
  <c r="K10" i="7"/>
  <c r="J10" i="7"/>
  <c r="I10" i="7"/>
  <c r="I21" i="7" s="1"/>
  <c r="I32" i="7" s="1"/>
  <c r="H10" i="7"/>
  <c r="G10" i="7"/>
  <c r="AF9" i="7"/>
  <c r="AE9" i="7"/>
  <c r="AF20" i="7" s="1"/>
  <c r="AF31" i="7" s="1"/>
  <c r="AD9" i="7"/>
  <c r="AC9" i="7"/>
  <c r="AB9" i="7"/>
  <c r="AA9" i="7"/>
  <c r="AB20" i="7" s="1"/>
  <c r="AB31" i="7" s="1"/>
  <c r="Z9" i="7"/>
  <c r="Y9" i="7"/>
  <c r="X9" i="7"/>
  <c r="W9" i="7"/>
  <c r="X20" i="7" s="1"/>
  <c r="V9" i="7"/>
  <c r="U9" i="7"/>
  <c r="T9" i="7"/>
  <c r="S9" i="7"/>
  <c r="S20" i="7" s="1"/>
  <c r="S31" i="7" s="1"/>
  <c r="R9" i="7"/>
  <c r="Q9" i="7"/>
  <c r="P9" i="7"/>
  <c r="O9" i="7"/>
  <c r="P20" i="7" s="1"/>
  <c r="P31" i="7" s="1"/>
  <c r="N9" i="7"/>
  <c r="M9" i="7"/>
  <c r="L9" i="7"/>
  <c r="K9" i="7"/>
  <c r="L20" i="7" s="1"/>
  <c r="L31" i="7" s="1"/>
  <c r="J9" i="7"/>
  <c r="I9" i="7"/>
  <c r="H9" i="7"/>
  <c r="G9" i="7"/>
  <c r="H20" i="7" s="1"/>
  <c r="H31" i="7" s="1"/>
  <c r="AF8" i="7"/>
  <c r="AE8" i="7"/>
  <c r="AD8" i="7"/>
  <c r="AC8" i="7"/>
  <c r="AD19" i="7" s="1"/>
  <c r="AD30" i="7" s="1"/>
  <c r="AB8" i="7"/>
  <c r="AA8" i="7"/>
  <c r="Z8" i="7"/>
  <c r="Y8" i="7"/>
  <c r="X8" i="7"/>
  <c r="W8" i="7"/>
  <c r="V8" i="7"/>
  <c r="U8" i="7"/>
  <c r="V19" i="7" s="1"/>
  <c r="V30" i="7" s="1"/>
  <c r="T8" i="7"/>
  <c r="S8" i="7"/>
  <c r="R8" i="7"/>
  <c r="Q8" i="7"/>
  <c r="P8" i="7"/>
  <c r="O8" i="7"/>
  <c r="N8" i="7"/>
  <c r="M8" i="7"/>
  <c r="N19" i="7" s="1"/>
  <c r="L8" i="7"/>
  <c r="K8" i="7"/>
  <c r="J8" i="7"/>
  <c r="I8" i="7"/>
  <c r="H8" i="7"/>
  <c r="G8" i="7"/>
  <c r="AF7" i="7"/>
  <c r="AE7" i="7"/>
  <c r="AE18" i="7" s="1"/>
  <c r="AE29" i="7" s="1"/>
  <c r="AD7" i="7"/>
  <c r="AC7" i="7"/>
  <c r="AB7" i="7"/>
  <c r="AA7" i="7"/>
  <c r="Z7" i="7"/>
  <c r="Y7" i="7"/>
  <c r="X7" i="7"/>
  <c r="W7" i="7"/>
  <c r="W18" i="7" s="1"/>
  <c r="W29" i="7" s="1"/>
  <c r="V7" i="7"/>
  <c r="U7" i="7"/>
  <c r="T7" i="7"/>
  <c r="S7" i="7"/>
  <c r="S18" i="7" s="1"/>
  <c r="S29" i="7" s="1"/>
  <c r="R7" i="7"/>
  <c r="Q7" i="7"/>
  <c r="P7" i="7"/>
  <c r="O7" i="7"/>
  <c r="O18" i="7" s="1"/>
  <c r="O29" i="7" s="1"/>
  <c r="N7" i="7"/>
  <c r="M7" i="7"/>
  <c r="L7" i="7"/>
  <c r="K7" i="7"/>
  <c r="J7" i="7"/>
  <c r="I7" i="7"/>
  <c r="H7" i="7"/>
  <c r="G7" i="7"/>
  <c r="AF6" i="7"/>
  <c r="AE6" i="7"/>
  <c r="AD6" i="7"/>
  <c r="AC6" i="7"/>
  <c r="AB6" i="7"/>
  <c r="AA6" i="7"/>
  <c r="Z6" i="7"/>
  <c r="Y6" i="7"/>
  <c r="Y17" i="7" s="1"/>
  <c r="Y28" i="7" s="1"/>
  <c r="X6" i="7"/>
  <c r="W6" i="7"/>
  <c r="V6" i="7"/>
  <c r="U6" i="7"/>
  <c r="U17" i="7" s="1"/>
  <c r="T6" i="7"/>
  <c r="S6" i="7"/>
  <c r="R6" i="7"/>
  <c r="Q6" i="7"/>
  <c r="R17" i="7" s="1"/>
  <c r="R28" i="7" s="1"/>
  <c r="P6" i="7"/>
  <c r="O6" i="7"/>
  <c r="N6" i="7"/>
  <c r="M6" i="7"/>
  <c r="L6" i="7"/>
  <c r="K6" i="7"/>
  <c r="J6" i="7"/>
  <c r="I6" i="7"/>
  <c r="I17" i="7" s="1"/>
  <c r="I28" i="7" s="1"/>
  <c r="H6" i="7"/>
  <c r="G6" i="7"/>
  <c r="AF5" i="7"/>
  <c r="AE5" i="7"/>
  <c r="AE16" i="7" s="1"/>
  <c r="AE27" i="7" s="1"/>
  <c r="AD5" i="7"/>
  <c r="AC5" i="7"/>
  <c r="AB5" i="7"/>
  <c r="AA5" i="7"/>
  <c r="AA16" i="7" s="1"/>
  <c r="AA27" i="7" s="1"/>
  <c r="Z5" i="7"/>
  <c r="Y5" i="7"/>
  <c r="X5" i="7"/>
  <c r="W5" i="7"/>
  <c r="V5" i="7"/>
  <c r="U5" i="7"/>
  <c r="T5" i="7"/>
  <c r="S5" i="7"/>
  <c r="S16" i="7" s="1"/>
  <c r="S27" i="7" s="1"/>
  <c r="R5" i="7"/>
  <c r="Q5" i="7"/>
  <c r="P5" i="7"/>
  <c r="O5" i="7"/>
  <c r="O16" i="7" s="1"/>
  <c r="O27" i="7" s="1"/>
  <c r="N5" i="7"/>
  <c r="M5" i="7"/>
  <c r="L5" i="7"/>
  <c r="K5" i="7"/>
  <c r="L16" i="7" s="1"/>
  <c r="L27" i="7" s="1"/>
  <c r="J5" i="7"/>
  <c r="I5" i="7"/>
  <c r="H5" i="7"/>
  <c r="G5" i="7"/>
  <c r="AF4" i="7"/>
  <c r="AE4" i="7"/>
  <c r="AD4" i="7"/>
  <c r="AC4" i="7"/>
  <c r="AB4" i="7"/>
  <c r="AA4" i="7"/>
  <c r="Z4" i="7"/>
  <c r="Y4" i="7"/>
  <c r="Y15" i="7" s="1"/>
  <c r="Y26" i="7" s="1"/>
  <c r="X4" i="7"/>
  <c r="W4" i="7"/>
  <c r="V4" i="7"/>
  <c r="U4" i="7"/>
  <c r="T4" i="7"/>
  <c r="S4" i="7"/>
  <c r="R4" i="7"/>
  <c r="S15" i="7" s="1"/>
  <c r="S26" i="7" s="1"/>
  <c r="Q4" i="7"/>
  <c r="P4" i="7"/>
  <c r="O4" i="7"/>
  <c r="N4" i="7"/>
  <c r="O15" i="7" s="1"/>
  <c r="O26" i="7" s="1"/>
  <c r="M4" i="7"/>
  <c r="M15" i="7" s="1"/>
  <c r="M26" i="7" s="1"/>
  <c r="L4" i="7"/>
  <c r="K4" i="7"/>
  <c r="J4" i="7"/>
  <c r="I4" i="7"/>
  <c r="H4" i="7"/>
  <c r="G4" i="7"/>
  <c r="F11" i="7"/>
  <c r="F10" i="7"/>
  <c r="F9" i="7"/>
  <c r="F8" i="7"/>
  <c r="F7" i="7"/>
  <c r="F6" i="7"/>
  <c r="F5" i="7"/>
  <c r="F4" i="7"/>
  <c r="AF21" i="7"/>
  <c r="AF32" i="7" s="1"/>
  <c r="P21" i="7"/>
  <c r="P32" i="7" s="1"/>
  <c r="W20" i="7"/>
  <c r="W31" i="7" s="1"/>
  <c r="AC17" i="7"/>
  <c r="AC28" i="7" s="1"/>
  <c r="M17" i="7"/>
  <c r="M28" i="7" s="1"/>
  <c r="W16" i="7"/>
  <c r="W27" i="7" s="1"/>
  <c r="AD21" i="7"/>
  <c r="AD32" i="7" s="1"/>
  <c r="AB21" i="7"/>
  <c r="AB32" i="7" s="1"/>
  <c r="X21" i="7"/>
  <c r="V21" i="7"/>
  <c r="V32" i="7" s="1"/>
  <c r="T21" i="7"/>
  <c r="T32" i="7" s="1"/>
  <c r="L21" i="7"/>
  <c r="L32" i="7" s="1"/>
  <c r="H21" i="7"/>
  <c r="H32" i="7" s="1"/>
  <c r="AC20" i="7"/>
  <c r="AC31" i="7" s="1"/>
  <c r="Y20" i="7"/>
  <c r="Y31" i="7" s="1"/>
  <c r="U20" i="7"/>
  <c r="Q20" i="7"/>
  <c r="M20" i="7"/>
  <c r="M31" i="7" s="1"/>
  <c r="I20" i="7"/>
  <c r="I31" i="7" s="1"/>
  <c r="AF19" i="7"/>
  <c r="AF30" i="7" s="1"/>
  <c r="AE19" i="7"/>
  <c r="AE30" i="7" s="1"/>
  <c r="AA19" i="7"/>
  <c r="AA30" i="7" s="1"/>
  <c r="Z19" i="7"/>
  <c r="Z30" i="7" s="1"/>
  <c r="W19" i="7"/>
  <c r="W30" i="7" s="1"/>
  <c r="S19" i="7"/>
  <c r="S30" i="7" s="1"/>
  <c r="R19" i="7"/>
  <c r="R30" i="7" s="1"/>
  <c r="O19" i="7"/>
  <c r="O30" i="7" s="1"/>
  <c r="K19" i="7"/>
  <c r="K30" i="7" s="1"/>
  <c r="J19" i="7"/>
  <c r="J30" i="7" s="1"/>
  <c r="AD18" i="7"/>
  <c r="AD29" i="7" s="1"/>
  <c r="AC18" i="7"/>
  <c r="AC29" i="7" s="1"/>
  <c r="AA18" i="7"/>
  <c r="AA29" i="7" s="1"/>
  <c r="Z18" i="7"/>
  <c r="Z29" i="7" s="1"/>
  <c r="Y18" i="7"/>
  <c r="Y29" i="7" s="1"/>
  <c r="V18" i="7"/>
  <c r="V29" i="7" s="1"/>
  <c r="U18" i="7"/>
  <c r="R18" i="7"/>
  <c r="R29" i="7" s="1"/>
  <c r="Q18" i="7"/>
  <c r="N18" i="7"/>
  <c r="M18" i="7"/>
  <c r="M29" i="7" s="1"/>
  <c r="K18" i="7"/>
  <c r="K29" i="7" s="1"/>
  <c r="J18" i="7"/>
  <c r="J29" i="7" s="1"/>
  <c r="I18" i="7"/>
  <c r="I29" i="7" s="1"/>
  <c r="AF17" i="7"/>
  <c r="AF28" i="7" s="1"/>
  <c r="AD17" i="7"/>
  <c r="AD28" i="7" s="1"/>
  <c r="AB17" i="7"/>
  <c r="AB28" i="7" s="1"/>
  <c r="X17" i="7"/>
  <c r="V17" i="7"/>
  <c r="V28" i="7" s="1"/>
  <c r="T17" i="7"/>
  <c r="T28" i="7" s="1"/>
  <c r="P17" i="7"/>
  <c r="P28" i="7" s="1"/>
  <c r="N17" i="7"/>
  <c r="L17" i="7"/>
  <c r="L28" i="7" s="1"/>
  <c r="H17" i="7"/>
  <c r="H28" i="7" s="1"/>
  <c r="AF16" i="7"/>
  <c r="AF27" i="7" s="1"/>
  <c r="AC16" i="7"/>
  <c r="AC27" i="7" s="1"/>
  <c r="Y16" i="7"/>
  <c r="Y27" i="7" s="1"/>
  <c r="X16" i="7"/>
  <c r="U16" i="7"/>
  <c r="Q16" i="7"/>
  <c r="P16" i="7"/>
  <c r="P27" i="7" s="1"/>
  <c r="M16" i="7"/>
  <c r="M27" i="7" s="1"/>
  <c r="I16" i="7"/>
  <c r="I27" i="7" s="1"/>
  <c r="H16" i="7"/>
  <c r="H27" i="7" s="1"/>
  <c r="AE15" i="7"/>
  <c r="AE26" i="7" s="1"/>
  <c r="AA15" i="7"/>
  <c r="AA26" i="7" s="1"/>
  <c r="W15" i="7"/>
  <c r="W26" i="7" s="1"/>
  <c r="K15" i="7"/>
  <c r="K26" i="7" s="1"/>
  <c r="G45" i="6"/>
  <c r="H45" i="6"/>
  <c r="I45" i="6"/>
  <c r="J45" i="6"/>
  <c r="F45" i="6"/>
  <c r="J26" i="6"/>
  <c r="R26" i="6"/>
  <c r="AB28" i="6"/>
  <c r="N30" i="6"/>
  <c r="AD30" i="6"/>
  <c r="L32" i="6"/>
  <c r="G6" i="6"/>
  <c r="H6" i="6"/>
  <c r="I6" i="6"/>
  <c r="J6" i="6"/>
  <c r="K6" i="6"/>
  <c r="L17" i="6" s="1"/>
  <c r="L28" i="6" s="1"/>
  <c r="L6" i="6"/>
  <c r="M6" i="6"/>
  <c r="N6" i="6"/>
  <c r="O6" i="6"/>
  <c r="P6" i="6"/>
  <c r="Q6" i="6"/>
  <c r="R6" i="6"/>
  <c r="S6" i="6"/>
  <c r="S11" i="6" s="1"/>
  <c r="T6" i="6"/>
  <c r="U6" i="6"/>
  <c r="V6" i="6"/>
  <c r="W6" i="6"/>
  <c r="X6" i="6"/>
  <c r="Y6" i="6"/>
  <c r="Z6" i="6"/>
  <c r="AA6" i="6"/>
  <c r="AB17" i="6" s="1"/>
  <c r="AB6" i="6"/>
  <c r="AC6" i="6"/>
  <c r="AD6" i="6"/>
  <c r="AE6" i="6"/>
  <c r="AF6" i="6"/>
  <c r="F6" i="6"/>
  <c r="G4" i="6"/>
  <c r="H4" i="6"/>
  <c r="I4" i="6"/>
  <c r="J4" i="6"/>
  <c r="K4" i="6"/>
  <c r="L4" i="6"/>
  <c r="L11" i="6" s="1"/>
  <c r="M4" i="6"/>
  <c r="N4" i="6"/>
  <c r="O4" i="6"/>
  <c r="P4" i="6"/>
  <c r="Q4" i="6"/>
  <c r="R4" i="6"/>
  <c r="S4" i="6"/>
  <c r="T4" i="6"/>
  <c r="T11" i="6" s="1"/>
  <c r="U4" i="6"/>
  <c r="V4" i="6"/>
  <c r="W4" i="6"/>
  <c r="X4" i="6"/>
  <c r="Y4" i="6"/>
  <c r="Z4" i="6"/>
  <c r="AA4" i="6"/>
  <c r="AB4" i="6"/>
  <c r="AC4" i="6"/>
  <c r="AD4" i="6"/>
  <c r="AE4" i="6"/>
  <c r="AF4" i="6"/>
  <c r="G5" i="6"/>
  <c r="H5" i="6"/>
  <c r="I5" i="6"/>
  <c r="J5" i="6"/>
  <c r="J16" i="6" s="1"/>
  <c r="J27" i="6" s="1"/>
  <c r="K5" i="6"/>
  <c r="L5" i="6"/>
  <c r="M5" i="6"/>
  <c r="N5" i="6"/>
  <c r="O5" i="6"/>
  <c r="P5" i="6"/>
  <c r="Q5" i="6"/>
  <c r="R5" i="6"/>
  <c r="R16" i="6" s="1"/>
  <c r="R27" i="6" s="1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I17" i="6"/>
  <c r="I28" i="6" s="1"/>
  <c r="Q17" i="6"/>
  <c r="Q28" i="6" s="1"/>
  <c r="Y17" i="6"/>
  <c r="Y28" i="6" s="1"/>
  <c r="G7" i="6"/>
  <c r="H7" i="6"/>
  <c r="I7" i="6"/>
  <c r="J18" i="6" s="1"/>
  <c r="J29" i="6" s="1"/>
  <c r="J7" i="6"/>
  <c r="K7" i="6"/>
  <c r="L7" i="6"/>
  <c r="M7" i="6"/>
  <c r="N18" i="6" s="1"/>
  <c r="N29" i="6" s="1"/>
  <c r="N7" i="6"/>
  <c r="O7" i="6"/>
  <c r="P7" i="6"/>
  <c r="Q7" i="6"/>
  <c r="R18" i="6" s="1"/>
  <c r="R29" i="6" s="1"/>
  <c r="R7" i="6"/>
  <c r="S7" i="6"/>
  <c r="T7" i="6"/>
  <c r="U7" i="6"/>
  <c r="V18" i="6" s="1"/>
  <c r="V29" i="6" s="1"/>
  <c r="V7" i="6"/>
  <c r="W7" i="6"/>
  <c r="X7" i="6"/>
  <c r="Y7" i="6"/>
  <c r="Z18" i="6" s="1"/>
  <c r="Z29" i="6" s="1"/>
  <c r="Z7" i="6"/>
  <c r="AA7" i="6"/>
  <c r="AB7" i="6"/>
  <c r="AC7" i="6"/>
  <c r="AD18" i="6" s="1"/>
  <c r="AD29" i="6" s="1"/>
  <c r="AD7" i="6"/>
  <c r="AE7" i="6"/>
  <c r="AF7" i="6"/>
  <c r="G8" i="6"/>
  <c r="H8" i="6"/>
  <c r="I8" i="6"/>
  <c r="J8" i="6"/>
  <c r="K8" i="6"/>
  <c r="L8" i="6"/>
  <c r="M8" i="6"/>
  <c r="M19" i="6" s="1"/>
  <c r="M30" i="6" s="1"/>
  <c r="N8" i="6"/>
  <c r="O8" i="6"/>
  <c r="P8" i="6"/>
  <c r="Q8" i="6"/>
  <c r="R8" i="6"/>
  <c r="S8" i="6"/>
  <c r="T8" i="6"/>
  <c r="U8" i="6"/>
  <c r="U19" i="6" s="1"/>
  <c r="U30" i="6" s="1"/>
  <c r="V8" i="6"/>
  <c r="W8" i="6"/>
  <c r="X8" i="6"/>
  <c r="Y8" i="6"/>
  <c r="Z8" i="6"/>
  <c r="AA8" i="6"/>
  <c r="AB8" i="6"/>
  <c r="AC8" i="6"/>
  <c r="AC19" i="6" s="1"/>
  <c r="AC30" i="6" s="1"/>
  <c r="AD8" i="6"/>
  <c r="AE8" i="6"/>
  <c r="AF8" i="6"/>
  <c r="G9" i="6"/>
  <c r="H9" i="6"/>
  <c r="I9" i="6"/>
  <c r="J20" i="6" s="1"/>
  <c r="J31" i="6" s="1"/>
  <c r="J9" i="6"/>
  <c r="K9" i="6"/>
  <c r="L9" i="6"/>
  <c r="M9" i="6"/>
  <c r="N9" i="6"/>
  <c r="O9" i="6"/>
  <c r="O20" i="6" s="1"/>
  <c r="O31" i="6" s="1"/>
  <c r="P9" i="6"/>
  <c r="P20" i="6" s="1"/>
  <c r="P31" i="6" s="1"/>
  <c r="Q9" i="6"/>
  <c r="R20" i="6" s="1"/>
  <c r="R31" i="6" s="1"/>
  <c r="R9" i="6"/>
  <c r="S9" i="6"/>
  <c r="T9" i="6"/>
  <c r="U9" i="6"/>
  <c r="V20" i="6" s="1"/>
  <c r="V31" i="6" s="1"/>
  <c r="V9" i="6"/>
  <c r="W9" i="6"/>
  <c r="W20" i="6" s="1"/>
  <c r="W31" i="6" s="1"/>
  <c r="X9" i="6"/>
  <c r="X20" i="6" s="1"/>
  <c r="X31" i="6" s="1"/>
  <c r="Y9" i="6"/>
  <c r="Z9" i="6"/>
  <c r="AA9" i="6"/>
  <c r="AB9" i="6"/>
  <c r="AB20" i="6" s="1"/>
  <c r="AB31" i="6" s="1"/>
  <c r="AC9" i="6"/>
  <c r="AD20" i="6" s="1"/>
  <c r="AD31" i="6" s="1"/>
  <c r="AD9" i="6"/>
  <c r="AE9" i="6"/>
  <c r="AE20" i="6" s="1"/>
  <c r="AE31" i="6" s="1"/>
  <c r="AF9" i="6"/>
  <c r="AF20" i="6" s="1"/>
  <c r="AF31" i="6" s="1"/>
  <c r="G10" i="6"/>
  <c r="H21" i="6" s="1"/>
  <c r="H32" i="6" s="1"/>
  <c r="H10" i="6"/>
  <c r="I10" i="6"/>
  <c r="J10" i="6"/>
  <c r="K10" i="6"/>
  <c r="L21" i="6" s="1"/>
  <c r="L10" i="6"/>
  <c r="M10" i="6"/>
  <c r="M21" i="6" s="1"/>
  <c r="M32" i="6" s="1"/>
  <c r="N10" i="6"/>
  <c r="O10" i="6"/>
  <c r="P21" i="6" s="1"/>
  <c r="P32" i="6" s="1"/>
  <c r="P10" i="6"/>
  <c r="Q10" i="6"/>
  <c r="R10" i="6"/>
  <c r="S10" i="6"/>
  <c r="T10" i="6"/>
  <c r="U10" i="6"/>
  <c r="V10" i="6"/>
  <c r="W10" i="6"/>
  <c r="X21" i="6" s="1"/>
  <c r="X32" i="6" s="1"/>
  <c r="X10" i="6"/>
  <c r="Y10" i="6"/>
  <c r="Y21" i="6" s="1"/>
  <c r="Y32" i="6" s="1"/>
  <c r="Z10" i="6"/>
  <c r="AA10" i="6"/>
  <c r="AB10" i="6"/>
  <c r="AC10" i="6"/>
  <c r="AD10" i="6"/>
  <c r="AE10" i="6"/>
  <c r="AF21" i="6" s="1"/>
  <c r="AF32" i="6" s="1"/>
  <c r="AF10" i="6"/>
  <c r="AA11" i="6"/>
  <c r="F10" i="6"/>
  <c r="F9" i="6"/>
  <c r="F8" i="6"/>
  <c r="F7" i="6"/>
  <c r="F5" i="6"/>
  <c r="F4" i="6"/>
  <c r="AA20" i="6"/>
  <c r="AA31" i="6" s="1"/>
  <c r="S20" i="6"/>
  <c r="S31" i="6" s="1"/>
  <c r="N20" i="6"/>
  <c r="N31" i="6" s="1"/>
  <c r="K20" i="6"/>
  <c r="K31" i="6" s="1"/>
  <c r="P17" i="6"/>
  <c r="P28" i="6" s="1"/>
  <c r="Z16" i="6"/>
  <c r="Z27" i="6" s="1"/>
  <c r="AC21" i="6"/>
  <c r="AC32" i="6" s="1"/>
  <c r="U21" i="6"/>
  <c r="U32" i="6" s="1"/>
  <c r="Q21" i="6"/>
  <c r="Q32" i="6" s="1"/>
  <c r="I21" i="6"/>
  <c r="I32" i="6" s="1"/>
  <c r="T20" i="6"/>
  <c r="T31" i="6" s="1"/>
  <c r="AD19" i="6"/>
  <c r="Y19" i="6"/>
  <c r="Y30" i="6" s="1"/>
  <c r="V19" i="6"/>
  <c r="V30" i="6" s="1"/>
  <c r="Q19" i="6"/>
  <c r="Q30" i="6" s="1"/>
  <c r="N19" i="6"/>
  <c r="I19" i="6"/>
  <c r="I30" i="6" s="1"/>
  <c r="AF18" i="6"/>
  <c r="AF29" i="6" s="1"/>
  <c r="U18" i="6"/>
  <c r="U29" i="6" s="1"/>
  <c r="P18" i="6"/>
  <c r="P29" i="6" s="1"/>
  <c r="AC17" i="6"/>
  <c r="AC28" i="6" s="1"/>
  <c r="U17" i="6"/>
  <c r="U28" i="6" s="1"/>
  <c r="M17" i="6"/>
  <c r="M28" i="6" s="1"/>
  <c r="AB16" i="6"/>
  <c r="AB27" i="6" s="1"/>
  <c r="T16" i="6"/>
  <c r="T27" i="6" s="1"/>
  <c r="L16" i="6"/>
  <c r="L27" i="6" s="1"/>
  <c r="AD15" i="6"/>
  <c r="AD26" i="6" s="1"/>
  <c r="R15" i="6"/>
  <c r="J15" i="6"/>
  <c r="G4" i="3"/>
  <c r="F60" i="3" s="1"/>
  <c r="H4" i="3"/>
  <c r="I4" i="3"/>
  <c r="J4" i="3"/>
  <c r="K4" i="3"/>
  <c r="L4" i="3"/>
  <c r="G60" i="3" s="1"/>
  <c r="M4" i="3"/>
  <c r="N4" i="3"/>
  <c r="O4" i="3"/>
  <c r="P4" i="3"/>
  <c r="Q4" i="3"/>
  <c r="H60" i="3" s="1"/>
  <c r="R4" i="3"/>
  <c r="S4" i="3"/>
  <c r="T4" i="3"/>
  <c r="U4" i="3"/>
  <c r="V4" i="3"/>
  <c r="I60" i="3" s="1"/>
  <c r="W4" i="3"/>
  <c r="W15" i="3" s="1"/>
  <c r="W26" i="3" s="1"/>
  <c r="X4" i="3"/>
  <c r="Y4" i="3"/>
  <c r="Z4" i="3"/>
  <c r="AA4" i="3"/>
  <c r="J60" i="3" s="1"/>
  <c r="AB4" i="3"/>
  <c r="AC4" i="3"/>
  <c r="AD4" i="3"/>
  <c r="AE4" i="3"/>
  <c r="AF4" i="3"/>
  <c r="K60" i="3" s="1"/>
  <c r="G5" i="3"/>
  <c r="F61" i="3" s="1"/>
  <c r="H5" i="3"/>
  <c r="I5" i="3"/>
  <c r="J5" i="3"/>
  <c r="K5" i="3"/>
  <c r="L5" i="3"/>
  <c r="G61" i="3" s="1"/>
  <c r="M5" i="3"/>
  <c r="N5" i="3"/>
  <c r="O5" i="3"/>
  <c r="P5" i="3"/>
  <c r="Q5" i="3"/>
  <c r="H61" i="3" s="1"/>
  <c r="R5" i="3"/>
  <c r="S5" i="3"/>
  <c r="T5" i="3"/>
  <c r="U5" i="3"/>
  <c r="V5" i="3"/>
  <c r="I61" i="3" s="1"/>
  <c r="W5" i="3"/>
  <c r="X5" i="3"/>
  <c r="Y5" i="3"/>
  <c r="Z5" i="3"/>
  <c r="AA5" i="3"/>
  <c r="J61" i="3" s="1"/>
  <c r="AB5" i="3"/>
  <c r="AC5" i="3"/>
  <c r="AD5" i="3"/>
  <c r="AE5" i="3"/>
  <c r="AF5" i="3"/>
  <c r="K61" i="3" s="1"/>
  <c r="G6" i="3"/>
  <c r="F62" i="3" s="1"/>
  <c r="H6" i="3"/>
  <c r="I6" i="3"/>
  <c r="J6" i="3"/>
  <c r="K6" i="3"/>
  <c r="L6" i="3"/>
  <c r="G62" i="3" s="1"/>
  <c r="M6" i="3"/>
  <c r="N6" i="3"/>
  <c r="O6" i="3"/>
  <c r="P6" i="3"/>
  <c r="Q6" i="3"/>
  <c r="H62" i="3" s="1"/>
  <c r="R6" i="3"/>
  <c r="S6" i="3"/>
  <c r="T6" i="3"/>
  <c r="U6" i="3"/>
  <c r="V6" i="3"/>
  <c r="I62" i="3" s="1"/>
  <c r="W6" i="3"/>
  <c r="X6" i="3"/>
  <c r="Y6" i="3"/>
  <c r="Z6" i="3"/>
  <c r="AA6" i="3"/>
  <c r="J62" i="3" s="1"/>
  <c r="AB6" i="3"/>
  <c r="AC6" i="3"/>
  <c r="AD6" i="3"/>
  <c r="AE6" i="3"/>
  <c r="AF6" i="3"/>
  <c r="K62" i="3" s="1"/>
  <c r="G7" i="3"/>
  <c r="F63" i="3" s="1"/>
  <c r="H7" i="3"/>
  <c r="I7" i="3"/>
  <c r="J7" i="3"/>
  <c r="K7" i="3"/>
  <c r="L7" i="3"/>
  <c r="G63" i="3" s="1"/>
  <c r="M7" i="3"/>
  <c r="N7" i="3"/>
  <c r="O7" i="3"/>
  <c r="P7" i="3"/>
  <c r="Q7" i="3"/>
  <c r="H63" i="3" s="1"/>
  <c r="R7" i="3"/>
  <c r="S7" i="3"/>
  <c r="T7" i="3"/>
  <c r="U7" i="3"/>
  <c r="V7" i="3"/>
  <c r="I63" i="3" s="1"/>
  <c r="W7" i="3"/>
  <c r="X7" i="3"/>
  <c r="Y7" i="3"/>
  <c r="Z7" i="3"/>
  <c r="AA7" i="3"/>
  <c r="J63" i="3" s="1"/>
  <c r="AB7" i="3"/>
  <c r="AC7" i="3"/>
  <c r="AD7" i="3"/>
  <c r="AE7" i="3"/>
  <c r="AF7" i="3"/>
  <c r="K63" i="3" s="1"/>
  <c r="G8" i="3"/>
  <c r="F64" i="3" s="1"/>
  <c r="H8" i="3"/>
  <c r="I8" i="3"/>
  <c r="J8" i="3"/>
  <c r="K8" i="3"/>
  <c r="L8" i="3"/>
  <c r="G64" i="3" s="1"/>
  <c r="M8" i="3"/>
  <c r="N8" i="3"/>
  <c r="O8" i="3"/>
  <c r="P8" i="3"/>
  <c r="Q8" i="3"/>
  <c r="H64" i="3" s="1"/>
  <c r="R8" i="3"/>
  <c r="S8" i="3"/>
  <c r="T8" i="3"/>
  <c r="U8" i="3"/>
  <c r="V8" i="3"/>
  <c r="I64" i="3" s="1"/>
  <c r="W8" i="3"/>
  <c r="X8" i="3"/>
  <c r="Y8" i="3"/>
  <c r="Z8" i="3"/>
  <c r="AA8" i="3"/>
  <c r="J64" i="3" s="1"/>
  <c r="AB8" i="3"/>
  <c r="AC8" i="3"/>
  <c r="AD8" i="3"/>
  <c r="AE8" i="3"/>
  <c r="AF8" i="3"/>
  <c r="G9" i="3"/>
  <c r="F65" i="3" s="1"/>
  <c r="H9" i="3"/>
  <c r="I9" i="3"/>
  <c r="J9" i="3"/>
  <c r="K9" i="3"/>
  <c r="L9" i="3"/>
  <c r="G65" i="3" s="1"/>
  <c r="M9" i="3"/>
  <c r="N9" i="3"/>
  <c r="O9" i="3"/>
  <c r="P9" i="3"/>
  <c r="Q9" i="3"/>
  <c r="H65" i="3" s="1"/>
  <c r="R9" i="3"/>
  <c r="S9" i="3"/>
  <c r="T9" i="3"/>
  <c r="U9" i="3"/>
  <c r="V9" i="3"/>
  <c r="I65" i="3" s="1"/>
  <c r="W9" i="3"/>
  <c r="X9" i="3"/>
  <c r="Y9" i="3"/>
  <c r="Z9" i="3"/>
  <c r="AA9" i="3"/>
  <c r="J65" i="3" s="1"/>
  <c r="AB9" i="3"/>
  <c r="AC9" i="3"/>
  <c r="AD9" i="3"/>
  <c r="AE9" i="3"/>
  <c r="AF9" i="3"/>
  <c r="K65" i="3" s="1"/>
  <c r="G10" i="3"/>
  <c r="F66" i="3" s="1"/>
  <c r="H10" i="3"/>
  <c r="I10" i="3"/>
  <c r="J10" i="3"/>
  <c r="K10" i="3"/>
  <c r="L10" i="3"/>
  <c r="G66" i="3" s="1"/>
  <c r="M10" i="3"/>
  <c r="N10" i="3"/>
  <c r="O10" i="3"/>
  <c r="P10" i="3"/>
  <c r="Q10" i="3"/>
  <c r="H66" i="3" s="1"/>
  <c r="R10" i="3"/>
  <c r="S10" i="3"/>
  <c r="T10" i="3"/>
  <c r="U10" i="3"/>
  <c r="V10" i="3"/>
  <c r="I66" i="3" s="1"/>
  <c r="W10" i="3"/>
  <c r="X10" i="3"/>
  <c r="Y10" i="3"/>
  <c r="Z10" i="3"/>
  <c r="AA10" i="3"/>
  <c r="J66" i="3" s="1"/>
  <c r="AB10" i="3"/>
  <c r="AC10" i="3"/>
  <c r="AD10" i="3"/>
  <c r="AE10" i="3"/>
  <c r="AF10" i="3"/>
  <c r="K66" i="3" s="1"/>
  <c r="F10" i="3"/>
  <c r="F9" i="3"/>
  <c r="F8" i="3"/>
  <c r="F7" i="3"/>
  <c r="F6" i="3"/>
  <c r="F5" i="3"/>
  <c r="F4" i="3"/>
  <c r="E23" i="11" l="1"/>
  <c r="K33" i="9"/>
  <c r="L23" i="11" s="1"/>
  <c r="M23" i="11" s="1"/>
  <c r="AD21" i="8"/>
  <c r="AD32" i="8" s="1"/>
  <c r="P11" i="8"/>
  <c r="X11" i="8"/>
  <c r="T16" i="8"/>
  <c r="T27" i="8" s="1"/>
  <c r="N21" i="8"/>
  <c r="N32" i="8" s="1"/>
  <c r="U16" i="8"/>
  <c r="G65" i="8"/>
  <c r="H11" i="8"/>
  <c r="AB11" i="8"/>
  <c r="P16" i="8"/>
  <c r="P27" i="8" s="1"/>
  <c r="R21" i="8"/>
  <c r="R32" i="8" s="1"/>
  <c r="I62" i="8"/>
  <c r="I67" i="8" s="1"/>
  <c r="H16" i="8"/>
  <c r="H27" i="8" s="1"/>
  <c r="P22" i="8"/>
  <c r="P33" i="8" s="1"/>
  <c r="T22" i="8"/>
  <c r="T33" i="8" s="1"/>
  <c r="X22" i="8"/>
  <c r="X27" i="8"/>
  <c r="N29" i="8"/>
  <c r="J37" i="8"/>
  <c r="U26" i="8"/>
  <c r="I38" i="8"/>
  <c r="N27" i="8"/>
  <c r="I50" i="8" s="1"/>
  <c r="AE22" i="8"/>
  <c r="AE33" i="8" s="1"/>
  <c r="G26" i="8"/>
  <c r="N26" i="8"/>
  <c r="X28" i="8"/>
  <c r="X32" i="8"/>
  <c r="H55" i="8" s="1"/>
  <c r="I17" i="8"/>
  <c r="I28" i="8" s="1"/>
  <c r="M17" i="8"/>
  <c r="M28" i="8" s="1"/>
  <c r="H62" i="8"/>
  <c r="Q17" i="8"/>
  <c r="U17" i="8"/>
  <c r="Y17" i="8"/>
  <c r="Y28" i="8" s="1"/>
  <c r="AC17" i="8"/>
  <c r="AC28" i="8" s="1"/>
  <c r="F64" i="8"/>
  <c r="G19" i="8"/>
  <c r="K19" i="8"/>
  <c r="K30" i="8" s="1"/>
  <c r="O19" i="8"/>
  <c r="O30" i="8" s="1"/>
  <c r="S19" i="8"/>
  <c r="S30" i="8" s="1"/>
  <c r="W19" i="8"/>
  <c r="W30" i="8" s="1"/>
  <c r="J64" i="8"/>
  <c r="AA19" i="8"/>
  <c r="AA30" i="8" s="1"/>
  <c r="AE19" i="8"/>
  <c r="AE30" i="8" s="1"/>
  <c r="H20" i="8"/>
  <c r="H31" i="8" s="1"/>
  <c r="L20" i="8"/>
  <c r="L31" i="8" s="1"/>
  <c r="P20" i="8"/>
  <c r="P31" i="8" s="1"/>
  <c r="T20" i="8"/>
  <c r="T31" i="8" s="1"/>
  <c r="X20" i="8"/>
  <c r="AB20" i="8"/>
  <c r="AB31" i="8" s="1"/>
  <c r="AF20" i="8"/>
  <c r="AF31" i="8" s="1"/>
  <c r="K65" i="8"/>
  <c r="I21" i="8"/>
  <c r="I32" i="8" s="1"/>
  <c r="M21" i="8"/>
  <c r="M32" i="8" s="1"/>
  <c r="H66" i="8"/>
  <c r="Q21" i="8"/>
  <c r="U21" i="8"/>
  <c r="Y21" i="8"/>
  <c r="Y32" i="8" s="1"/>
  <c r="AC21" i="8"/>
  <c r="AC32" i="8" s="1"/>
  <c r="F11" i="8"/>
  <c r="J11" i="8"/>
  <c r="N11" i="8"/>
  <c r="R11" i="8"/>
  <c r="V11" i="8"/>
  <c r="Z11" i="8"/>
  <c r="AD11" i="8"/>
  <c r="H15" i="8"/>
  <c r="H26" i="8" s="1"/>
  <c r="L15" i="8"/>
  <c r="L26" i="8" s="1"/>
  <c r="P15" i="8"/>
  <c r="P26" i="8" s="1"/>
  <c r="T15" i="8"/>
  <c r="T26" i="8" s="1"/>
  <c r="X15" i="8"/>
  <c r="AB15" i="8"/>
  <c r="AB26" i="8" s="1"/>
  <c r="AF15" i="8"/>
  <c r="AF26" i="8" s="1"/>
  <c r="V16" i="8"/>
  <c r="V27" i="8" s="1"/>
  <c r="AF17" i="8"/>
  <c r="AF28" i="8" s="1"/>
  <c r="V18" i="8"/>
  <c r="V29" i="8" s="1"/>
  <c r="L19" i="8"/>
  <c r="L30" i="8" s="1"/>
  <c r="H63" i="8"/>
  <c r="Q18" i="8"/>
  <c r="I41" i="8"/>
  <c r="N30" i="8"/>
  <c r="I53" i="8" s="1"/>
  <c r="F65" i="8"/>
  <c r="G20" i="8"/>
  <c r="J65" i="8"/>
  <c r="AA20" i="8"/>
  <c r="AA31" i="8" s="1"/>
  <c r="I11" i="8"/>
  <c r="Q11" i="8"/>
  <c r="Q22" i="8" s="1"/>
  <c r="Y11" i="8"/>
  <c r="Y22" i="8" s="1"/>
  <c r="Y33" i="8" s="1"/>
  <c r="O15" i="8"/>
  <c r="O26" i="8" s="1"/>
  <c r="W15" i="8"/>
  <c r="W26" i="8" s="1"/>
  <c r="AE15" i="8"/>
  <c r="AE26" i="8" s="1"/>
  <c r="Q27" i="8"/>
  <c r="U27" i="8"/>
  <c r="J50" i="8" s="1"/>
  <c r="G28" i="8"/>
  <c r="R18" i="8"/>
  <c r="R29" i="8" s="1"/>
  <c r="X30" i="8"/>
  <c r="I55" i="8"/>
  <c r="F63" i="8"/>
  <c r="G18" i="8"/>
  <c r="J63" i="8"/>
  <c r="AA18" i="8"/>
  <c r="AA29" i="8" s="1"/>
  <c r="H65" i="8"/>
  <c r="Q20" i="8"/>
  <c r="U31" i="8"/>
  <c r="I43" i="8"/>
  <c r="I66" i="8"/>
  <c r="V21" i="8"/>
  <c r="V32" i="8" s="1"/>
  <c r="G11" i="8"/>
  <c r="G22" i="8" s="1"/>
  <c r="AA11" i="8"/>
  <c r="AA22" i="8" s="1"/>
  <c r="AA33" i="8" s="1"/>
  <c r="Q15" i="8"/>
  <c r="G16" i="8"/>
  <c r="AA16" i="8"/>
  <c r="AA27" i="8" s="1"/>
  <c r="AF19" i="8"/>
  <c r="AF30" i="8" s="1"/>
  <c r="V20" i="8"/>
  <c r="V31" i="8" s="1"/>
  <c r="L21" i="8"/>
  <c r="L32" i="8" s="1"/>
  <c r="I64" i="8"/>
  <c r="V19" i="8"/>
  <c r="V30" i="8" s="1"/>
  <c r="M11" i="8"/>
  <c r="U11" i="8"/>
  <c r="U22" i="8" s="1"/>
  <c r="AC11" i="8"/>
  <c r="AC22" i="8" s="1"/>
  <c r="AC33" i="8" s="1"/>
  <c r="K15" i="8"/>
  <c r="K26" i="8" s="1"/>
  <c r="S15" i="8"/>
  <c r="S26" i="8" s="1"/>
  <c r="AA15" i="8"/>
  <c r="AA26" i="8" s="1"/>
  <c r="N31" i="8"/>
  <c r="I54" i="8" s="1"/>
  <c r="I42" i="8"/>
  <c r="K17" i="8"/>
  <c r="K28" i="8" s="1"/>
  <c r="O17" i="8"/>
  <c r="O28" i="8" s="1"/>
  <c r="S17" i="8"/>
  <c r="S28" i="8" s="1"/>
  <c r="W17" i="8"/>
  <c r="W28" i="8" s="1"/>
  <c r="J62" i="8"/>
  <c r="AA17" i="8"/>
  <c r="AA28" i="8" s="1"/>
  <c r="AE17" i="8"/>
  <c r="AE28" i="8" s="1"/>
  <c r="H18" i="8"/>
  <c r="H29" i="8" s="1"/>
  <c r="L18" i="8"/>
  <c r="L29" i="8" s="1"/>
  <c r="G63" i="8"/>
  <c r="G67" i="8" s="1"/>
  <c r="P18" i="8"/>
  <c r="P29" i="8" s="1"/>
  <c r="T18" i="8"/>
  <c r="T29" i="8" s="1"/>
  <c r="X18" i="8"/>
  <c r="AB18" i="8"/>
  <c r="AB29" i="8" s="1"/>
  <c r="K63" i="8"/>
  <c r="K67" i="8" s="1"/>
  <c r="AF18" i="8"/>
  <c r="AF29" i="8" s="1"/>
  <c r="I19" i="8"/>
  <c r="I30" i="8" s="1"/>
  <c r="M19" i="8"/>
  <c r="M30" i="8" s="1"/>
  <c r="H64" i="8"/>
  <c r="H67" i="8" s="1"/>
  <c r="Q19" i="8"/>
  <c r="U19" i="8"/>
  <c r="Y19" i="8"/>
  <c r="Y30" i="8" s="1"/>
  <c r="AC19" i="8"/>
  <c r="AC30" i="8" s="1"/>
  <c r="F66" i="8"/>
  <c r="G21" i="8"/>
  <c r="J66" i="8"/>
  <c r="AA21" i="8"/>
  <c r="AA32" i="8" s="1"/>
  <c r="L11" i="8"/>
  <c r="L22" i="8" s="1"/>
  <c r="L33" i="8" s="1"/>
  <c r="AF11" i="8"/>
  <c r="AF22" i="8" s="1"/>
  <c r="AF33" i="8" s="1"/>
  <c r="V15" i="8"/>
  <c r="V26" i="8" s="1"/>
  <c r="L16" i="8"/>
  <c r="L27" i="8" s="1"/>
  <c r="AF16" i="8"/>
  <c r="AF27" i="8" s="1"/>
  <c r="L17" i="8"/>
  <c r="L28" i="8" s="1"/>
  <c r="AF21" i="8"/>
  <c r="AF32" i="8" s="1"/>
  <c r="N28" i="8"/>
  <c r="H74" i="7"/>
  <c r="H72" i="7"/>
  <c r="H78" i="7"/>
  <c r="H76" i="7"/>
  <c r="I68" i="7"/>
  <c r="K68" i="7"/>
  <c r="I74" i="7"/>
  <c r="K75" i="7"/>
  <c r="I76" i="7"/>
  <c r="K77" i="7"/>
  <c r="I78" i="7"/>
  <c r="F77" i="7"/>
  <c r="F75" i="7"/>
  <c r="F73" i="7"/>
  <c r="J77" i="7"/>
  <c r="J75" i="7"/>
  <c r="J73" i="7"/>
  <c r="J68" i="7"/>
  <c r="H73" i="7"/>
  <c r="F74" i="7"/>
  <c r="J74" i="7"/>
  <c r="H75" i="7"/>
  <c r="F76" i="7"/>
  <c r="J76" i="7"/>
  <c r="H77" i="7"/>
  <c r="F78" i="7"/>
  <c r="K72" i="7"/>
  <c r="I73" i="7"/>
  <c r="K74" i="7"/>
  <c r="I75" i="7"/>
  <c r="K76" i="7"/>
  <c r="I77" i="7"/>
  <c r="G78" i="7"/>
  <c r="K78" i="7"/>
  <c r="G67" i="7"/>
  <c r="G68" i="7" s="1"/>
  <c r="I72" i="7"/>
  <c r="K73" i="7"/>
  <c r="F72" i="7"/>
  <c r="J72" i="7"/>
  <c r="H74" i="6"/>
  <c r="I72" i="6"/>
  <c r="G73" i="6"/>
  <c r="K73" i="6"/>
  <c r="G75" i="6"/>
  <c r="K75" i="6"/>
  <c r="G77" i="6"/>
  <c r="K77" i="6"/>
  <c r="F72" i="6"/>
  <c r="H77" i="6"/>
  <c r="G76" i="6"/>
  <c r="G72" i="6"/>
  <c r="K76" i="6"/>
  <c r="K72" i="6"/>
  <c r="G74" i="6"/>
  <c r="K74" i="6"/>
  <c r="I75" i="6"/>
  <c r="G78" i="6"/>
  <c r="K78" i="6"/>
  <c r="H78" i="6"/>
  <c r="I67" i="6"/>
  <c r="H67" i="6"/>
  <c r="H68" i="6" s="1"/>
  <c r="F67" i="6"/>
  <c r="F75" i="6" s="1"/>
  <c r="J67" i="6"/>
  <c r="J78" i="6" s="1"/>
  <c r="J75" i="3"/>
  <c r="H74" i="3"/>
  <c r="H75" i="3"/>
  <c r="G77" i="3"/>
  <c r="J77" i="3"/>
  <c r="G76" i="3"/>
  <c r="G72" i="3"/>
  <c r="G67" i="3"/>
  <c r="G75" i="3" s="1"/>
  <c r="J67" i="3"/>
  <c r="J74" i="3" s="1"/>
  <c r="K67" i="3"/>
  <c r="K75" i="3" s="1"/>
  <c r="I67" i="3"/>
  <c r="H67" i="3"/>
  <c r="H73" i="3" s="1"/>
  <c r="F67" i="3"/>
  <c r="F77" i="3" s="1"/>
  <c r="AB17" i="3"/>
  <c r="AB28" i="3" s="1"/>
  <c r="AA21" i="3"/>
  <c r="AC21" i="3"/>
  <c r="AC32" i="3" s="1"/>
  <c r="Y21" i="3"/>
  <c r="Y32" i="3" s="1"/>
  <c r="U21" i="3"/>
  <c r="Q21" i="3"/>
  <c r="M21" i="3"/>
  <c r="M32" i="3" s="1"/>
  <c r="I21" i="3"/>
  <c r="I32" i="3" s="1"/>
  <c r="AE20" i="3"/>
  <c r="AE31" i="3" s="1"/>
  <c r="AA20" i="3"/>
  <c r="W20" i="3"/>
  <c r="W31" i="3" s="1"/>
  <c r="S20" i="3"/>
  <c r="S31" i="3" s="1"/>
  <c r="O20" i="3"/>
  <c r="O31" i="3" s="1"/>
  <c r="K20" i="3"/>
  <c r="K31" i="3" s="1"/>
  <c r="AC19" i="3"/>
  <c r="AC30" i="3" s="1"/>
  <c r="Y19" i="3"/>
  <c r="Y30" i="3" s="1"/>
  <c r="U19" i="3"/>
  <c r="U30" i="3" s="1"/>
  <c r="Q19" i="3"/>
  <c r="M19" i="3"/>
  <c r="M30" i="3" s="1"/>
  <c r="I19" i="3"/>
  <c r="I30" i="3" s="1"/>
  <c r="AE18" i="3"/>
  <c r="AE29" i="3" s="1"/>
  <c r="AA18" i="3"/>
  <c r="W18" i="3"/>
  <c r="W29" i="3" s="1"/>
  <c r="S18" i="3"/>
  <c r="S29" i="3" s="1"/>
  <c r="O18" i="3"/>
  <c r="O29" i="3" s="1"/>
  <c r="K18" i="3"/>
  <c r="K29" i="3" s="1"/>
  <c r="AC17" i="3"/>
  <c r="AC28" i="3" s="1"/>
  <c r="Y17" i="3"/>
  <c r="Y28" i="3" s="1"/>
  <c r="U17" i="3"/>
  <c r="U28" i="3" s="1"/>
  <c r="Q17" i="3"/>
  <c r="M17" i="3"/>
  <c r="M28" i="3" s="1"/>
  <c r="I17" i="3"/>
  <c r="I28" i="3" s="1"/>
  <c r="AE16" i="3"/>
  <c r="AE27" i="3" s="1"/>
  <c r="AA16" i="3"/>
  <c r="W16" i="3"/>
  <c r="W27" i="3" s="1"/>
  <c r="S16" i="3"/>
  <c r="S27" i="3" s="1"/>
  <c r="O16" i="3"/>
  <c r="O27" i="3" s="1"/>
  <c r="K16" i="3"/>
  <c r="K27" i="3" s="1"/>
  <c r="AF21" i="3"/>
  <c r="AB21" i="3"/>
  <c r="AB32" i="3" s="1"/>
  <c r="X21" i="3"/>
  <c r="X32" i="3" s="1"/>
  <c r="T21" i="3"/>
  <c r="T32" i="3" s="1"/>
  <c r="P21" i="3"/>
  <c r="P32" i="3" s="1"/>
  <c r="L21" i="3"/>
  <c r="H21" i="3"/>
  <c r="H32" i="3" s="1"/>
  <c r="AD20" i="3"/>
  <c r="AD31" i="3" s="1"/>
  <c r="Z20" i="3"/>
  <c r="Z31" i="3" s="1"/>
  <c r="V20" i="3"/>
  <c r="R20" i="3"/>
  <c r="R31" i="3" s="1"/>
  <c r="N20" i="3"/>
  <c r="N31" i="3" s="1"/>
  <c r="J20" i="3"/>
  <c r="J31" i="3" s="1"/>
  <c r="AF19" i="3"/>
  <c r="AB19" i="3"/>
  <c r="AB30" i="3" s="1"/>
  <c r="X19" i="3"/>
  <c r="T19" i="3"/>
  <c r="T30" i="3" s="1"/>
  <c r="P19" i="3"/>
  <c r="P30" i="3" s="1"/>
  <c r="L19" i="3"/>
  <c r="H19" i="3"/>
  <c r="H30" i="3" s="1"/>
  <c r="AD18" i="3"/>
  <c r="AD29" i="3" s="1"/>
  <c r="Z18" i="3"/>
  <c r="Z29" i="3" s="1"/>
  <c r="V18" i="3"/>
  <c r="R18" i="3"/>
  <c r="R29" i="3" s="1"/>
  <c r="N18" i="3"/>
  <c r="N29" i="3" s="1"/>
  <c r="J18" i="3"/>
  <c r="J29" i="3" s="1"/>
  <c r="AF17" i="3"/>
  <c r="X17" i="3"/>
  <c r="X28" i="3" s="1"/>
  <c r="T17" i="3"/>
  <c r="T28" i="3" s="1"/>
  <c r="P17" i="3"/>
  <c r="P28" i="3" s="1"/>
  <c r="L17" i="3"/>
  <c r="H17" i="3"/>
  <c r="H28" i="3" s="1"/>
  <c r="AD16" i="3"/>
  <c r="AD27" i="3" s="1"/>
  <c r="Z16" i="3"/>
  <c r="Z27" i="3" s="1"/>
  <c r="V16" i="3"/>
  <c r="R16" i="3"/>
  <c r="R27" i="3" s="1"/>
  <c r="N16" i="3"/>
  <c r="N27" i="3" s="1"/>
  <c r="J16" i="3"/>
  <c r="J27" i="3" s="1"/>
  <c r="AF15" i="3"/>
  <c r="AB15" i="3"/>
  <c r="AB26" i="3" s="1"/>
  <c r="X15" i="3"/>
  <c r="X26" i="3" s="1"/>
  <c r="T15" i="3"/>
  <c r="T26" i="3" s="1"/>
  <c r="P15" i="3"/>
  <c r="P26" i="3" s="1"/>
  <c r="L15" i="3"/>
  <c r="H15" i="3"/>
  <c r="H26" i="3" s="1"/>
  <c r="K16" i="7"/>
  <c r="K27" i="7" s="1"/>
  <c r="Q17" i="7"/>
  <c r="AA20" i="7"/>
  <c r="AA31" i="7" s="1"/>
  <c r="T16" i="7"/>
  <c r="T27" i="7" s="1"/>
  <c r="AB16" i="7"/>
  <c r="AB27" i="7" s="1"/>
  <c r="J17" i="7"/>
  <c r="J28" i="7" s="1"/>
  <c r="Z17" i="7"/>
  <c r="Z28" i="7" s="1"/>
  <c r="O20" i="7"/>
  <c r="O31" i="7" s="1"/>
  <c r="AE20" i="7"/>
  <c r="AE31" i="7" s="1"/>
  <c r="K20" i="7"/>
  <c r="K31" i="7" s="1"/>
  <c r="T20" i="7"/>
  <c r="T31" i="7" s="1"/>
  <c r="J21" i="7"/>
  <c r="J32" i="7" s="1"/>
  <c r="G16" i="7"/>
  <c r="G27" i="7" s="1"/>
  <c r="G20" i="7"/>
  <c r="G31" i="7" s="1"/>
  <c r="G18" i="7"/>
  <c r="G19" i="7"/>
  <c r="G30" i="7" s="1"/>
  <c r="G15" i="7"/>
  <c r="H15" i="7"/>
  <c r="H26" i="7" s="1"/>
  <c r="H11" i="7"/>
  <c r="T15" i="7"/>
  <c r="T26" i="7" s="1"/>
  <c r="T11" i="7"/>
  <c r="AF15" i="7"/>
  <c r="AF26" i="7" s="1"/>
  <c r="AF11" i="7"/>
  <c r="Q27" i="7"/>
  <c r="N28" i="7"/>
  <c r="H19" i="7"/>
  <c r="H30" i="7" s="1"/>
  <c r="I19" i="7"/>
  <c r="I30" i="7" s="1"/>
  <c r="AB19" i="7"/>
  <c r="AB30" i="7" s="1"/>
  <c r="AC19" i="7"/>
  <c r="AC30" i="7" s="1"/>
  <c r="J11" i="7"/>
  <c r="N11" i="7"/>
  <c r="R11" i="7"/>
  <c r="V11" i="7"/>
  <c r="Z11" i="7"/>
  <c r="AD11" i="7"/>
  <c r="X28" i="7"/>
  <c r="Q29" i="7"/>
  <c r="U29" i="7"/>
  <c r="I41" i="7"/>
  <c r="N30" i="7"/>
  <c r="X32" i="7"/>
  <c r="S11" i="7"/>
  <c r="I15" i="7"/>
  <c r="I26" i="7" s="1"/>
  <c r="G26" i="7"/>
  <c r="X27" i="7"/>
  <c r="N29" i="7"/>
  <c r="X31" i="7"/>
  <c r="G11" i="7"/>
  <c r="W11" i="7"/>
  <c r="W22" i="7" s="1"/>
  <c r="W33" i="7" s="1"/>
  <c r="P15" i="7"/>
  <c r="P26" i="7" s="1"/>
  <c r="P11" i="7"/>
  <c r="AB15" i="7"/>
  <c r="AB26" i="7" s="1"/>
  <c r="AC15" i="7"/>
  <c r="AC26" i="7" s="1"/>
  <c r="AB11" i="7"/>
  <c r="G29" i="7"/>
  <c r="P19" i="7"/>
  <c r="P30" i="7" s="1"/>
  <c r="Q19" i="7"/>
  <c r="X19" i="7"/>
  <c r="Y19" i="7"/>
  <c r="Y30" i="7" s="1"/>
  <c r="Q31" i="7"/>
  <c r="K11" i="7"/>
  <c r="K22" i="7" s="1"/>
  <c r="K33" i="7" s="1"/>
  <c r="AA11" i="7"/>
  <c r="Q15" i="7"/>
  <c r="L15" i="7"/>
  <c r="L26" i="7" s="1"/>
  <c r="L11" i="7"/>
  <c r="L22" i="7" s="1"/>
  <c r="L33" i="7" s="1"/>
  <c r="X15" i="7"/>
  <c r="X11" i="7"/>
  <c r="U27" i="7"/>
  <c r="L19" i="7"/>
  <c r="L30" i="7" s="1"/>
  <c r="M19" i="7"/>
  <c r="M30" i="7" s="1"/>
  <c r="T19" i="7"/>
  <c r="T30" i="7" s="1"/>
  <c r="U19" i="7"/>
  <c r="U31" i="7"/>
  <c r="N32" i="7"/>
  <c r="I55" i="7" s="1"/>
  <c r="I11" i="7"/>
  <c r="I22" i="7" s="1"/>
  <c r="I33" i="7" s="1"/>
  <c r="M11" i="7"/>
  <c r="Q11" i="7"/>
  <c r="U11" i="7"/>
  <c r="U22" i="7" s="1"/>
  <c r="Y11" i="7"/>
  <c r="AC11" i="7"/>
  <c r="J16" i="7"/>
  <c r="J27" i="7" s="1"/>
  <c r="N16" i="7"/>
  <c r="R16" i="7"/>
  <c r="R27" i="7" s="1"/>
  <c r="V16" i="7"/>
  <c r="V27" i="7" s="1"/>
  <c r="Z16" i="7"/>
  <c r="Z27" i="7" s="1"/>
  <c r="AD16" i="7"/>
  <c r="AD27" i="7" s="1"/>
  <c r="G17" i="7"/>
  <c r="K17" i="7"/>
  <c r="K28" i="7" s="1"/>
  <c r="O17" i="7"/>
  <c r="O28" i="7" s="1"/>
  <c r="S17" i="7"/>
  <c r="S28" i="7" s="1"/>
  <c r="W17" i="7"/>
  <c r="W28" i="7" s="1"/>
  <c r="AA17" i="7"/>
  <c r="AA28" i="7" s="1"/>
  <c r="AE17" i="7"/>
  <c r="AE28" i="7" s="1"/>
  <c r="H18" i="7"/>
  <c r="H29" i="7" s="1"/>
  <c r="L18" i="7"/>
  <c r="L29" i="7" s="1"/>
  <c r="P18" i="7"/>
  <c r="P29" i="7" s="1"/>
  <c r="T18" i="7"/>
  <c r="T29" i="7" s="1"/>
  <c r="X18" i="7"/>
  <c r="J40" i="7" s="1"/>
  <c r="AB18" i="7"/>
  <c r="AB29" i="7" s="1"/>
  <c r="AF18" i="7"/>
  <c r="AF29" i="7" s="1"/>
  <c r="J20" i="7"/>
  <c r="J31" i="7" s="1"/>
  <c r="N20" i="7"/>
  <c r="R20" i="7"/>
  <c r="R31" i="7" s="1"/>
  <c r="V20" i="7"/>
  <c r="V31" i="7" s="1"/>
  <c r="Z20" i="7"/>
  <c r="Z31" i="7" s="1"/>
  <c r="AD20" i="7"/>
  <c r="AD31" i="7" s="1"/>
  <c r="G21" i="7"/>
  <c r="K21" i="7"/>
  <c r="K32" i="7" s="1"/>
  <c r="O11" i="7"/>
  <c r="O22" i="7" s="1"/>
  <c r="O33" i="7" s="1"/>
  <c r="AE11" i="7"/>
  <c r="AE22" i="7" s="1"/>
  <c r="AE33" i="7" s="1"/>
  <c r="U15" i="7"/>
  <c r="O21" i="7"/>
  <c r="O32" i="7" s="1"/>
  <c r="S21" i="7"/>
  <c r="S32" i="7" s="1"/>
  <c r="W21" i="7"/>
  <c r="W32" i="7" s="1"/>
  <c r="AA21" i="7"/>
  <c r="AA32" i="7" s="1"/>
  <c r="AE21" i="7"/>
  <c r="AE32" i="7" s="1"/>
  <c r="J15" i="7"/>
  <c r="J26" i="7" s="1"/>
  <c r="N15" i="7"/>
  <c r="R15" i="7"/>
  <c r="R26" i="7" s="1"/>
  <c r="V15" i="7"/>
  <c r="V26" i="7" s="1"/>
  <c r="Z15" i="7"/>
  <c r="Z26" i="7" s="1"/>
  <c r="AD15" i="7"/>
  <c r="AD26" i="7" s="1"/>
  <c r="Q28" i="7"/>
  <c r="J39" i="7"/>
  <c r="U28" i="7"/>
  <c r="J51" i="7" s="1"/>
  <c r="M21" i="7"/>
  <c r="M32" i="7" s="1"/>
  <c r="Q21" i="7"/>
  <c r="U21" i="7"/>
  <c r="Y21" i="7"/>
  <c r="Y32" i="7" s="1"/>
  <c r="AC21" i="7"/>
  <c r="AC32" i="7" s="1"/>
  <c r="AB21" i="6"/>
  <c r="AB32" i="6" s="1"/>
  <c r="AA21" i="6"/>
  <c r="AA32" i="6" s="1"/>
  <c r="AE16" i="6"/>
  <c r="AE27" i="6" s="1"/>
  <c r="AD16" i="6"/>
  <c r="AD27" i="6" s="1"/>
  <c r="AB11" i="6"/>
  <c r="AB15" i="6"/>
  <c r="AB26" i="6" s="1"/>
  <c r="X15" i="6"/>
  <c r="X26" i="6" s="1"/>
  <c r="X11" i="6"/>
  <c r="AE11" i="6"/>
  <c r="W11" i="6"/>
  <c r="X17" i="6"/>
  <c r="X28" i="6" s="1"/>
  <c r="O11" i="6"/>
  <c r="G11" i="6"/>
  <c r="H17" i="6"/>
  <c r="H28" i="6" s="1"/>
  <c r="L15" i="6"/>
  <c r="L26" i="6" s="1"/>
  <c r="AF17" i="6"/>
  <c r="AF28" i="6" s="1"/>
  <c r="V16" i="6"/>
  <c r="V27" i="6" s="1"/>
  <c r="W16" i="6"/>
  <c r="W27" i="6" s="1"/>
  <c r="O16" i="6"/>
  <c r="O27" i="6" s="1"/>
  <c r="N16" i="6"/>
  <c r="N27" i="6" s="1"/>
  <c r="I50" i="6" s="1"/>
  <c r="AF11" i="6"/>
  <c r="AF15" i="6"/>
  <c r="AF26" i="6" s="1"/>
  <c r="P11" i="6"/>
  <c r="P15" i="6"/>
  <c r="P26" i="6" s="1"/>
  <c r="H15" i="6"/>
  <c r="H26" i="6" s="1"/>
  <c r="H11" i="6"/>
  <c r="T17" i="6"/>
  <c r="T28" i="6" s="1"/>
  <c r="S17" i="6"/>
  <c r="S28" i="6" s="1"/>
  <c r="I18" i="6"/>
  <c r="I29" i="6" s="1"/>
  <c r="K11" i="6"/>
  <c r="W21" i="6"/>
  <c r="W32" i="6" s="1"/>
  <c r="S21" i="6"/>
  <c r="S32" i="6" s="1"/>
  <c r="K21" i="6"/>
  <c r="K32" i="6" s="1"/>
  <c r="L20" i="6"/>
  <c r="L31" i="6" s="1"/>
  <c r="H20" i="6"/>
  <c r="H31" i="6" s="1"/>
  <c r="Z19" i="6"/>
  <c r="Z30" i="6" s="1"/>
  <c r="R19" i="6"/>
  <c r="R30" i="6" s="1"/>
  <c r="J19" i="6"/>
  <c r="J30" i="6" s="1"/>
  <c r="AC18" i="6"/>
  <c r="AC29" i="6" s="1"/>
  <c r="Y18" i="6"/>
  <c r="Y29" i="6" s="1"/>
  <c r="T18" i="6"/>
  <c r="T29" i="6" s="1"/>
  <c r="Q18" i="6"/>
  <c r="Q29" i="6" s="1"/>
  <c r="M18" i="6"/>
  <c r="M29" i="6" s="1"/>
  <c r="H18" i="6"/>
  <c r="H29" i="6" s="1"/>
  <c r="AE17" i="6"/>
  <c r="AE28" i="6" s="1"/>
  <c r="AA17" i="6"/>
  <c r="AA28" i="6" s="1"/>
  <c r="W17" i="6"/>
  <c r="W28" i="6" s="1"/>
  <c r="O17" i="6"/>
  <c r="O28" i="6" s="1"/>
  <c r="K17" i="6"/>
  <c r="K28" i="6" s="1"/>
  <c r="AF16" i="6"/>
  <c r="AF27" i="6" s="1"/>
  <c r="X16" i="6"/>
  <c r="X27" i="6" s="1"/>
  <c r="P16" i="6"/>
  <c r="P27" i="6" s="1"/>
  <c r="H16" i="6"/>
  <c r="H27" i="6" s="1"/>
  <c r="Z15" i="6"/>
  <c r="Z26" i="6" s="1"/>
  <c r="T21" i="6"/>
  <c r="T32" i="6" s="1"/>
  <c r="Z20" i="6"/>
  <c r="Z31" i="6" s="1"/>
  <c r="AA16" i="6"/>
  <c r="AA27" i="6" s="1"/>
  <c r="S16" i="6"/>
  <c r="S27" i="6" s="1"/>
  <c r="K16" i="6"/>
  <c r="K27" i="6" s="1"/>
  <c r="AC11" i="6"/>
  <c r="AC22" i="6" s="1"/>
  <c r="AC33" i="6" s="1"/>
  <c r="Y11" i="6"/>
  <c r="U11" i="6"/>
  <c r="Q11" i="6"/>
  <c r="Q22" i="6" s="1"/>
  <c r="M11" i="6"/>
  <c r="I11" i="6"/>
  <c r="G20" i="3"/>
  <c r="G31" i="3" s="1"/>
  <c r="G18" i="3"/>
  <c r="G29" i="3" s="1"/>
  <c r="AD15" i="3"/>
  <c r="AD26" i="3" s="1"/>
  <c r="N15" i="3"/>
  <c r="N26" i="3" s="1"/>
  <c r="Y18" i="3"/>
  <c r="Y29" i="3" s="1"/>
  <c r="G17" i="3"/>
  <c r="G28" i="3" s="1"/>
  <c r="AC16" i="3"/>
  <c r="AC27" i="3" s="1"/>
  <c r="Y16" i="3"/>
  <c r="Y27" i="3" s="1"/>
  <c r="U16" i="3"/>
  <c r="U27" i="3" s="1"/>
  <c r="Q16" i="3"/>
  <c r="M16" i="3"/>
  <c r="M27" i="3" s="1"/>
  <c r="I16" i="3"/>
  <c r="I27" i="3" s="1"/>
  <c r="AE15" i="3"/>
  <c r="AE26" i="3" s="1"/>
  <c r="AA15" i="3"/>
  <c r="S15" i="3"/>
  <c r="S26" i="3" s="1"/>
  <c r="O15" i="3"/>
  <c r="O26" i="3" s="1"/>
  <c r="K15" i="3"/>
  <c r="K26" i="3" s="1"/>
  <c r="AD11" i="6"/>
  <c r="AD22" i="6" s="1"/>
  <c r="AD33" i="6" s="1"/>
  <c r="V11" i="6"/>
  <c r="R11" i="6"/>
  <c r="S22" i="6" s="1"/>
  <c r="S33" i="6" s="1"/>
  <c r="N11" i="6"/>
  <c r="J11" i="6"/>
  <c r="AB18" i="6"/>
  <c r="AB29" i="6" s="1"/>
  <c r="X18" i="6"/>
  <c r="X29" i="6" s="1"/>
  <c r="G20" i="6"/>
  <c r="G31" i="6" s="1"/>
  <c r="Z11" i="6"/>
  <c r="Z22" i="6" s="1"/>
  <c r="Z33" i="6" s="1"/>
  <c r="V15" i="6"/>
  <c r="V26" i="6" s="1"/>
  <c r="L18" i="6"/>
  <c r="L29" i="6" s="1"/>
  <c r="I54" i="6"/>
  <c r="N15" i="6"/>
  <c r="N26" i="6" s="1"/>
  <c r="G16" i="6"/>
  <c r="G27" i="6" s="1"/>
  <c r="G17" i="6"/>
  <c r="G28" i="6" s="1"/>
  <c r="G21" i="6"/>
  <c r="G32" i="6" s="1"/>
  <c r="F11" i="6"/>
  <c r="G15" i="6"/>
  <c r="G26" i="6" s="1"/>
  <c r="S15" i="6"/>
  <c r="S26" i="6" s="1"/>
  <c r="O19" i="6"/>
  <c r="O30" i="6" s="1"/>
  <c r="P19" i="6"/>
  <c r="P30" i="6" s="1"/>
  <c r="AA19" i="6"/>
  <c r="AA30" i="6" s="1"/>
  <c r="AB19" i="6"/>
  <c r="AB30" i="6" s="1"/>
  <c r="K15" i="6"/>
  <c r="K26" i="6" s="1"/>
  <c r="K22" i="6"/>
  <c r="K33" i="6" s="1"/>
  <c r="AA15" i="6"/>
  <c r="AA26" i="6" s="1"/>
  <c r="K19" i="6"/>
  <c r="K30" i="6" s="1"/>
  <c r="L19" i="6"/>
  <c r="L30" i="6" s="1"/>
  <c r="W19" i="6"/>
  <c r="W30" i="6" s="1"/>
  <c r="X19" i="6"/>
  <c r="H22" i="6"/>
  <c r="H33" i="6" s="1"/>
  <c r="L22" i="6"/>
  <c r="L33" i="6" s="1"/>
  <c r="X22" i="6"/>
  <c r="I16" i="6"/>
  <c r="I27" i="6" s="1"/>
  <c r="M16" i="6"/>
  <c r="M27" i="6" s="1"/>
  <c r="Q16" i="6"/>
  <c r="Q27" i="6" s="1"/>
  <c r="U16" i="6"/>
  <c r="U27" i="6" s="1"/>
  <c r="Y16" i="6"/>
  <c r="Y27" i="6" s="1"/>
  <c r="AC16" i="6"/>
  <c r="AC27" i="6" s="1"/>
  <c r="J17" i="6"/>
  <c r="J28" i="6" s="1"/>
  <c r="N17" i="6"/>
  <c r="N28" i="6" s="1"/>
  <c r="R17" i="6"/>
  <c r="R28" i="6" s="1"/>
  <c r="V17" i="6"/>
  <c r="V28" i="6" s="1"/>
  <c r="Z17" i="6"/>
  <c r="Z28" i="6" s="1"/>
  <c r="AD17" i="6"/>
  <c r="AD28" i="6" s="1"/>
  <c r="H51" i="6" s="1"/>
  <c r="G18" i="6"/>
  <c r="G29" i="6" s="1"/>
  <c r="K18" i="6"/>
  <c r="K29" i="6" s="1"/>
  <c r="O18" i="6"/>
  <c r="O29" i="6" s="1"/>
  <c r="S18" i="6"/>
  <c r="S29" i="6" s="1"/>
  <c r="W18" i="6"/>
  <c r="W29" i="6" s="1"/>
  <c r="AA18" i="6"/>
  <c r="AA29" i="6" s="1"/>
  <c r="AE18" i="6"/>
  <c r="AE29" i="6" s="1"/>
  <c r="I20" i="6"/>
  <c r="I31" i="6" s="1"/>
  <c r="M20" i="6"/>
  <c r="M31" i="6" s="1"/>
  <c r="Q20" i="6"/>
  <c r="Q31" i="6" s="1"/>
  <c r="U20" i="6"/>
  <c r="U31" i="6" s="1"/>
  <c r="Y20" i="6"/>
  <c r="Y31" i="6" s="1"/>
  <c r="AC20" i="6"/>
  <c r="AC31" i="6" s="1"/>
  <c r="O15" i="6"/>
  <c r="O26" i="6" s="1"/>
  <c r="W15" i="6"/>
  <c r="W26" i="6" s="1"/>
  <c r="W22" i="6"/>
  <c r="W33" i="6" s="1"/>
  <c r="AE15" i="6"/>
  <c r="AE26" i="6" s="1"/>
  <c r="G19" i="6"/>
  <c r="G30" i="6" s="1"/>
  <c r="H19" i="6"/>
  <c r="H30" i="6" s="1"/>
  <c r="S19" i="6"/>
  <c r="S30" i="6" s="1"/>
  <c r="T19" i="6"/>
  <c r="T30" i="6" s="1"/>
  <c r="AE19" i="6"/>
  <c r="AE30" i="6" s="1"/>
  <c r="AF19" i="6"/>
  <c r="AF30" i="6" s="1"/>
  <c r="M22" i="6"/>
  <c r="M33" i="6" s="1"/>
  <c r="U22" i="6"/>
  <c r="N22" i="6"/>
  <c r="T15" i="6"/>
  <c r="T26" i="6" s="1"/>
  <c r="J21" i="6"/>
  <c r="J32" i="6" s="1"/>
  <c r="N21" i="6"/>
  <c r="N32" i="6" s="1"/>
  <c r="R21" i="6"/>
  <c r="R32" i="6" s="1"/>
  <c r="V21" i="6"/>
  <c r="V32" i="6" s="1"/>
  <c r="Z21" i="6"/>
  <c r="Z32" i="6" s="1"/>
  <c r="H55" i="6" s="1"/>
  <c r="AD21" i="6"/>
  <c r="AD32" i="6" s="1"/>
  <c r="I15" i="6"/>
  <c r="I26" i="6" s="1"/>
  <c r="M15" i="6"/>
  <c r="M26" i="6" s="1"/>
  <c r="Q15" i="6"/>
  <c r="Q26" i="6" s="1"/>
  <c r="U15" i="6"/>
  <c r="U26" i="6" s="1"/>
  <c r="Y15" i="6"/>
  <c r="Y26" i="6" s="1"/>
  <c r="AC15" i="6"/>
  <c r="AC26" i="6" s="1"/>
  <c r="O21" i="6"/>
  <c r="O32" i="6" s="1"/>
  <c r="AE21" i="6"/>
  <c r="AE32" i="6" s="1"/>
  <c r="I42" i="6"/>
  <c r="G11" i="3"/>
  <c r="AE21" i="3"/>
  <c r="AE32" i="3" s="1"/>
  <c r="W21" i="3"/>
  <c r="W32" i="3" s="1"/>
  <c r="O21" i="3"/>
  <c r="O32" i="3" s="1"/>
  <c r="G21" i="3"/>
  <c r="G32" i="3" s="1"/>
  <c r="AD21" i="3"/>
  <c r="AD32" i="3" s="1"/>
  <c r="V21" i="3"/>
  <c r="R21" i="3"/>
  <c r="R32" i="3" s="1"/>
  <c r="N21" i="3"/>
  <c r="N32" i="3" s="1"/>
  <c r="I55" i="3" s="1"/>
  <c r="J21" i="3"/>
  <c r="J32" i="3" s="1"/>
  <c r="AF20" i="3"/>
  <c r="AB20" i="3"/>
  <c r="AB31" i="3" s="1"/>
  <c r="X20" i="3"/>
  <c r="X31" i="3" s="1"/>
  <c r="T20" i="3"/>
  <c r="T31" i="3" s="1"/>
  <c r="P20" i="3"/>
  <c r="P31" i="3" s="1"/>
  <c r="L20" i="3"/>
  <c r="H20" i="3"/>
  <c r="H31" i="3" s="1"/>
  <c r="AD19" i="3"/>
  <c r="AD30" i="3" s="1"/>
  <c r="Z19" i="3"/>
  <c r="Z30" i="3" s="1"/>
  <c r="V19" i="3"/>
  <c r="R19" i="3"/>
  <c r="R30" i="3" s="1"/>
  <c r="N19" i="3"/>
  <c r="N30" i="3" s="1"/>
  <c r="J19" i="3"/>
  <c r="J30" i="3" s="1"/>
  <c r="AF18" i="3"/>
  <c r="AB18" i="3"/>
  <c r="AB29" i="3" s="1"/>
  <c r="X18" i="3"/>
  <c r="X29" i="3" s="1"/>
  <c r="T18" i="3"/>
  <c r="T29" i="3" s="1"/>
  <c r="P18" i="3"/>
  <c r="P29" i="3" s="1"/>
  <c r="L18" i="3"/>
  <c r="H18" i="3"/>
  <c r="H29" i="3" s="1"/>
  <c r="Z15" i="3"/>
  <c r="Z26" i="3" s="1"/>
  <c r="R15" i="3"/>
  <c r="R26" i="3" s="1"/>
  <c r="J15" i="3"/>
  <c r="J26" i="3" s="1"/>
  <c r="X30" i="3"/>
  <c r="Q30" i="3"/>
  <c r="V11" i="3"/>
  <c r="X11" i="3"/>
  <c r="H11" i="3"/>
  <c r="K21" i="3"/>
  <c r="K32" i="3" s="1"/>
  <c r="Y15" i="3"/>
  <c r="Y26" i="3" s="1"/>
  <c r="Y11" i="3"/>
  <c r="Q15" i="3"/>
  <c r="Q11" i="3"/>
  <c r="I15" i="3"/>
  <c r="I26" i="3" s="1"/>
  <c r="I11" i="3"/>
  <c r="O11" i="3"/>
  <c r="G16" i="3"/>
  <c r="Z21" i="3"/>
  <c r="Z32" i="3" s="1"/>
  <c r="AC18" i="3"/>
  <c r="AC29" i="3" s="1"/>
  <c r="AB11" i="3"/>
  <c r="T11" i="3"/>
  <c r="L11" i="3"/>
  <c r="Q28" i="3"/>
  <c r="AD11" i="3"/>
  <c r="N11" i="3"/>
  <c r="AF11" i="3"/>
  <c r="P11" i="3"/>
  <c r="P22" i="3" s="1"/>
  <c r="P33" i="3" s="1"/>
  <c r="S21" i="3"/>
  <c r="S32" i="3" s="1"/>
  <c r="AC15" i="3"/>
  <c r="AC26" i="3" s="1"/>
  <c r="AC11" i="3"/>
  <c r="U15" i="3"/>
  <c r="U11" i="3"/>
  <c r="M15" i="3"/>
  <c r="M26" i="3" s="1"/>
  <c r="M11" i="3"/>
  <c r="M22" i="3" s="1"/>
  <c r="M33" i="3" s="1"/>
  <c r="AE11" i="3"/>
  <c r="W11" i="3"/>
  <c r="F11" i="3"/>
  <c r="AC20" i="3"/>
  <c r="AC31" i="3" s="1"/>
  <c r="Y20" i="3"/>
  <c r="Y31" i="3" s="1"/>
  <c r="U20" i="3"/>
  <c r="Q20" i="3"/>
  <c r="M20" i="3"/>
  <c r="M31" i="3" s="1"/>
  <c r="I20" i="3"/>
  <c r="I31" i="3" s="1"/>
  <c r="AE19" i="3"/>
  <c r="AE30" i="3" s="1"/>
  <c r="AA19" i="3"/>
  <c r="W19" i="3"/>
  <c r="W30" i="3" s="1"/>
  <c r="S19" i="3"/>
  <c r="S30" i="3" s="1"/>
  <c r="O19" i="3"/>
  <c r="O30" i="3" s="1"/>
  <c r="K19" i="3"/>
  <c r="K30" i="3" s="1"/>
  <c r="G19" i="3"/>
  <c r="U18" i="3"/>
  <c r="Q18" i="3"/>
  <c r="M18" i="3"/>
  <c r="M29" i="3" s="1"/>
  <c r="G15" i="3"/>
  <c r="AA11" i="3"/>
  <c r="S11" i="3"/>
  <c r="K11" i="3"/>
  <c r="V15" i="3"/>
  <c r="I18" i="3"/>
  <c r="I29" i="3" s="1"/>
  <c r="AE17" i="3"/>
  <c r="AE28" i="3" s="1"/>
  <c r="AA17" i="3"/>
  <c r="W17" i="3"/>
  <c r="W28" i="3" s="1"/>
  <c r="S17" i="3"/>
  <c r="S28" i="3" s="1"/>
  <c r="O17" i="3"/>
  <c r="O28" i="3" s="1"/>
  <c r="K17" i="3"/>
  <c r="K28" i="3" s="1"/>
  <c r="Z11" i="3"/>
  <c r="R11" i="3"/>
  <c r="J11" i="3"/>
  <c r="AD17" i="3"/>
  <c r="AD28" i="3" s="1"/>
  <c r="Z17" i="3"/>
  <c r="Z28" i="3" s="1"/>
  <c r="V17" i="3"/>
  <c r="R17" i="3"/>
  <c r="R28" i="3" s="1"/>
  <c r="N17" i="3"/>
  <c r="J17" i="3"/>
  <c r="J28" i="3" s="1"/>
  <c r="AF16" i="3"/>
  <c r="AB16" i="3"/>
  <c r="AB27" i="3" s="1"/>
  <c r="X16" i="3"/>
  <c r="T16" i="3"/>
  <c r="T27" i="3" s="1"/>
  <c r="P16" i="3"/>
  <c r="P27" i="3" s="1"/>
  <c r="L16" i="3"/>
  <c r="H16" i="3"/>
  <c r="H27" i="3" s="1"/>
  <c r="I72" i="8" l="1"/>
  <c r="I77" i="8"/>
  <c r="K76" i="8"/>
  <c r="K72" i="8"/>
  <c r="J40" i="8"/>
  <c r="J67" i="8"/>
  <c r="I39" i="8"/>
  <c r="I51" i="8"/>
  <c r="I22" i="8"/>
  <c r="I33" i="8" s="1"/>
  <c r="J22" i="8"/>
  <c r="J33" i="8" s="1"/>
  <c r="G73" i="8"/>
  <c r="G74" i="8"/>
  <c r="G78" i="8"/>
  <c r="G72" i="8"/>
  <c r="G76" i="8"/>
  <c r="G77" i="8"/>
  <c r="J68" i="8"/>
  <c r="J73" i="8"/>
  <c r="J72" i="8"/>
  <c r="H77" i="8"/>
  <c r="Q30" i="8"/>
  <c r="G41" i="8"/>
  <c r="U33" i="8"/>
  <c r="I68" i="8"/>
  <c r="G33" i="8"/>
  <c r="G29" i="8"/>
  <c r="F40" i="8"/>
  <c r="H41" i="8"/>
  <c r="Q33" i="8"/>
  <c r="G31" i="8"/>
  <c r="F42" i="8"/>
  <c r="G40" i="8"/>
  <c r="Q29" i="8"/>
  <c r="V22" i="8"/>
  <c r="V33" i="8" s="1"/>
  <c r="Q32" i="8"/>
  <c r="G55" i="8" s="1"/>
  <c r="G43" i="8"/>
  <c r="K77" i="8"/>
  <c r="J39" i="8"/>
  <c r="U28" i="8"/>
  <c r="J51" i="8" s="1"/>
  <c r="H39" i="8"/>
  <c r="I49" i="8"/>
  <c r="I52" i="8"/>
  <c r="W22" i="8"/>
  <c r="W33" i="8" s="1"/>
  <c r="AB22" i="8"/>
  <c r="AB33" i="8" s="1"/>
  <c r="H22" i="8"/>
  <c r="H33" i="8" s="1"/>
  <c r="J74" i="8"/>
  <c r="H53" i="8"/>
  <c r="G38" i="8"/>
  <c r="K68" i="8"/>
  <c r="J78" i="8"/>
  <c r="H76" i="8"/>
  <c r="K75" i="8"/>
  <c r="I73" i="8"/>
  <c r="M22" i="8"/>
  <c r="M33" i="8" s="1"/>
  <c r="I76" i="8"/>
  <c r="F38" i="8"/>
  <c r="G27" i="8"/>
  <c r="F50" i="8" s="1"/>
  <c r="J42" i="8"/>
  <c r="J38" i="8"/>
  <c r="H75" i="8"/>
  <c r="H37" i="8"/>
  <c r="X26" i="8"/>
  <c r="H49" i="8" s="1"/>
  <c r="R22" i="8"/>
  <c r="R33" i="8" s="1"/>
  <c r="H78" i="8"/>
  <c r="I75" i="8"/>
  <c r="Q28" i="8"/>
  <c r="G39" i="8"/>
  <c r="K73" i="8"/>
  <c r="K74" i="8"/>
  <c r="H51" i="8"/>
  <c r="I40" i="8"/>
  <c r="K22" i="8"/>
  <c r="K33" i="8" s="1"/>
  <c r="X33" i="8"/>
  <c r="S22" i="8"/>
  <c r="S33" i="8" s="1"/>
  <c r="U30" i="8"/>
  <c r="J53" i="8" s="1"/>
  <c r="J41" i="8"/>
  <c r="H40" i="8"/>
  <c r="X29" i="8"/>
  <c r="H52" i="8" s="1"/>
  <c r="H68" i="8"/>
  <c r="J75" i="8"/>
  <c r="F39" i="8"/>
  <c r="J77" i="8"/>
  <c r="Z22" i="8"/>
  <c r="Z33" i="8" s="1"/>
  <c r="J43" i="8"/>
  <c r="U32" i="8"/>
  <c r="J55" i="8" s="1"/>
  <c r="X31" i="8"/>
  <c r="H54" i="8" s="1"/>
  <c r="H42" i="8"/>
  <c r="G30" i="8"/>
  <c r="F41" i="8"/>
  <c r="I37" i="8"/>
  <c r="H38" i="8"/>
  <c r="F43" i="8"/>
  <c r="G32" i="8"/>
  <c r="G75" i="8"/>
  <c r="H72" i="8"/>
  <c r="K78" i="8"/>
  <c r="G37" i="8"/>
  <c r="Q26" i="8"/>
  <c r="G49" i="8" s="1"/>
  <c r="I78" i="8"/>
  <c r="G42" i="8"/>
  <c r="Q31" i="8"/>
  <c r="H73" i="8"/>
  <c r="G50" i="8"/>
  <c r="AD22" i="8"/>
  <c r="AD33" i="8" s="1"/>
  <c r="N22" i="8"/>
  <c r="J76" i="8"/>
  <c r="H74" i="8"/>
  <c r="F67" i="8"/>
  <c r="H43" i="8"/>
  <c r="F37" i="8"/>
  <c r="J49" i="8"/>
  <c r="H50" i="8"/>
  <c r="I74" i="8"/>
  <c r="O22" i="8"/>
  <c r="O33" i="8" s="1"/>
  <c r="G72" i="7"/>
  <c r="G73" i="7"/>
  <c r="G74" i="7"/>
  <c r="G75" i="7"/>
  <c r="G76" i="7"/>
  <c r="G77" i="7"/>
  <c r="H68" i="7"/>
  <c r="K68" i="6"/>
  <c r="J74" i="6"/>
  <c r="G68" i="6"/>
  <c r="J76" i="6"/>
  <c r="F74" i="6"/>
  <c r="J77" i="6"/>
  <c r="J73" i="6"/>
  <c r="I68" i="6"/>
  <c r="I74" i="6"/>
  <c r="I78" i="6"/>
  <c r="F76" i="6"/>
  <c r="H73" i="6"/>
  <c r="F77" i="6"/>
  <c r="F73" i="6"/>
  <c r="J75" i="6"/>
  <c r="J68" i="6"/>
  <c r="I77" i="6"/>
  <c r="I73" i="6"/>
  <c r="F78" i="6"/>
  <c r="H75" i="6"/>
  <c r="J72" i="6"/>
  <c r="I76" i="6"/>
  <c r="H76" i="6"/>
  <c r="H72" i="6"/>
  <c r="I73" i="3"/>
  <c r="I77" i="3"/>
  <c r="I74" i="3"/>
  <c r="F76" i="3"/>
  <c r="F73" i="3"/>
  <c r="F72" i="3"/>
  <c r="G74" i="3"/>
  <c r="G78" i="3"/>
  <c r="I72" i="3"/>
  <c r="I78" i="3"/>
  <c r="H72" i="3"/>
  <c r="H76" i="3"/>
  <c r="F74" i="3"/>
  <c r="I75" i="3"/>
  <c r="I76" i="3"/>
  <c r="K72" i="3"/>
  <c r="H78" i="3"/>
  <c r="H77" i="3"/>
  <c r="K77" i="3"/>
  <c r="F75" i="3"/>
  <c r="J72" i="3"/>
  <c r="J76" i="3"/>
  <c r="K76" i="3"/>
  <c r="K74" i="3"/>
  <c r="K78" i="3"/>
  <c r="K73" i="3"/>
  <c r="J73" i="3"/>
  <c r="G73" i="3"/>
  <c r="J78" i="3"/>
  <c r="V28" i="3"/>
  <c r="V26" i="3"/>
  <c r="H22" i="3"/>
  <c r="H33" i="3" s="1"/>
  <c r="AF29" i="3"/>
  <c r="V30" i="3"/>
  <c r="L31" i="3"/>
  <c r="L26" i="3"/>
  <c r="AA27" i="3"/>
  <c r="AA29" i="3"/>
  <c r="AA31" i="3"/>
  <c r="Q32" i="3"/>
  <c r="AA32" i="3"/>
  <c r="L27" i="3"/>
  <c r="AF27" i="3"/>
  <c r="L29" i="3"/>
  <c r="AF32" i="3"/>
  <c r="AA28" i="3"/>
  <c r="AA30" i="3"/>
  <c r="H53" i="3" s="1"/>
  <c r="AF31" i="3"/>
  <c r="H54" i="3" s="1"/>
  <c r="V32" i="3"/>
  <c r="AF26" i="3"/>
  <c r="V27" i="3"/>
  <c r="L28" i="3"/>
  <c r="AF28" i="3"/>
  <c r="V29" i="3"/>
  <c r="L30" i="3"/>
  <c r="J51" i="3"/>
  <c r="F78" i="3"/>
  <c r="AA26" i="3"/>
  <c r="Q27" i="3"/>
  <c r="AF30" i="3"/>
  <c r="V31" i="3"/>
  <c r="L32" i="3"/>
  <c r="I54" i="3"/>
  <c r="W22" i="3"/>
  <c r="W33" i="3" s="1"/>
  <c r="I53" i="3"/>
  <c r="H52" i="3"/>
  <c r="I52" i="3"/>
  <c r="I50" i="3"/>
  <c r="I49" i="3"/>
  <c r="U32" i="3"/>
  <c r="J55" i="3" s="1"/>
  <c r="P22" i="7"/>
  <c r="P33" i="7" s="1"/>
  <c r="AB22" i="7"/>
  <c r="AB33" i="7" s="1"/>
  <c r="Y22" i="7"/>
  <c r="Y33" i="7" s="1"/>
  <c r="J38" i="7"/>
  <c r="S22" i="7"/>
  <c r="S33" i="7" s="1"/>
  <c r="Z22" i="7"/>
  <c r="Z33" i="7" s="1"/>
  <c r="J22" i="7"/>
  <c r="J33" i="7" s="1"/>
  <c r="I43" i="7"/>
  <c r="J50" i="7"/>
  <c r="G22" i="7"/>
  <c r="I42" i="7"/>
  <c r="N31" i="7"/>
  <c r="J41" i="7"/>
  <c r="U30" i="7"/>
  <c r="H41" i="7"/>
  <c r="X30" i="7"/>
  <c r="H53" i="7" s="1"/>
  <c r="G33" i="7"/>
  <c r="G40" i="7"/>
  <c r="G38" i="7"/>
  <c r="G51" i="7"/>
  <c r="Q22" i="7"/>
  <c r="G42" i="7"/>
  <c r="Q30" i="7"/>
  <c r="G41" i="7"/>
  <c r="H54" i="7"/>
  <c r="I52" i="7"/>
  <c r="H55" i="7"/>
  <c r="H51" i="7"/>
  <c r="V22" i="7"/>
  <c r="V33" i="7" s="1"/>
  <c r="G50" i="7"/>
  <c r="I37" i="7"/>
  <c r="N26" i="7"/>
  <c r="I49" i="7" s="1"/>
  <c r="I38" i="7"/>
  <c r="N27" i="7"/>
  <c r="I50" i="7" s="1"/>
  <c r="H38" i="7"/>
  <c r="T22" i="7"/>
  <c r="T33" i="7" s="1"/>
  <c r="J43" i="7"/>
  <c r="U32" i="7"/>
  <c r="J55" i="7" s="1"/>
  <c r="G39" i="7"/>
  <c r="AC22" i="7"/>
  <c r="AC33" i="7" s="1"/>
  <c r="M22" i="7"/>
  <c r="M33" i="7" s="1"/>
  <c r="J42" i="7"/>
  <c r="X22" i="7"/>
  <c r="Q26" i="7"/>
  <c r="F49" i="7" s="1"/>
  <c r="G37" i="7"/>
  <c r="G54" i="7"/>
  <c r="H42" i="7"/>
  <c r="I40" i="7"/>
  <c r="F37" i="7"/>
  <c r="H43" i="7"/>
  <c r="J52" i="7"/>
  <c r="H39" i="7"/>
  <c r="R22" i="7"/>
  <c r="R33" i="7" s="1"/>
  <c r="I39" i="7"/>
  <c r="AF22" i="7"/>
  <c r="AF33" i="7" s="1"/>
  <c r="H22" i="7"/>
  <c r="H33" i="7" s="1"/>
  <c r="X29" i="7"/>
  <c r="H52" i="7" s="1"/>
  <c r="H40" i="7"/>
  <c r="U33" i="7"/>
  <c r="F40" i="7"/>
  <c r="F41" i="7"/>
  <c r="G43" i="7"/>
  <c r="Q32" i="7"/>
  <c r="G55" i="7" s="1"/>
  <c r="F38" i="7"/>
  <c r="F42" i="7"/>
  <c r="J37" i="7"/>
  <c r="U26" i="7"/>
  <c r="G32" i="7"/>
  <c r="F43" i="7"/>
  <c r="G28" i="7"/>
  <c r="F51" i="7" s="1"/>
  <c r="F39" i="7"/>
  <c r="J54" i="7"/>
  <c r="H37" i="7"/>
  <c r="X26" i="7"/>
  <c r="H49" i="7" s="1"/>
  <c r="AA22" i="7"/>
  <c r="AA33" i="7" s="1"/>
  <c r="F52" i="7"/>
  <c r="H50" i="7"/>
  <c r="I53" i="7"/>
  <c r="G52" i="7"/>
  <c r="AD22" i="7"/>
  <c r="AD33" i="7" s="1"/>
  <c r="N22" i="7"/>
  <c r="I51" i="7"/>
  <c r="I38" i="6"/>
  <c r="J41" i="6"/>
  <c r="X30" i="6"/>
  <c r="J53" i="3"/>
  <c r="X22" i="3"/>
  <c r="X33" i="3" s="1"/>
  <c r="G22" i="3"/>
  <c r="G33" i="3" s="1"/>
  <c r="AC22" i="3"/>
  <c r="AC33" i="3" s="1"/>
  <c r="I22" i="3"/>
  <c r="I33" i="3" s="1"/>
  <c r="H42" i="6"/>
  <c r="G40" i="6"/>
  <c r="I41" i="6"/>
  <c r="F39" i="6"/>
  <c r="I52" i="6"/>
  <c r="G22" i="6"/>
  <c r="X33" i="6"/>
  <c r="H38" i="6"/>
  <c r="J55" i="6"/>
  <c r="H40" i="6"/>
  <c r="R22" i="6"/>
  <c r="R33" i="6" s="1"/>
  <c r="G52" i="6"/>
  <c r="F40" i="6"/>
  <c r="F52" i="6"/>
  <c r="T22" i="6"/>
  <c r="T33" i="6" s="1"/>
  <c r="H41" i="6"/>
  <c r="H53" i="6"/>
  <c r="G51" i="6"/>
  <c r="AA22" i="6"/>
  <c r="AA33" i="6" s="1"/>
  <c r="V22" i="6"/>
  <c r="V33" i="6" s="1"/>
  <c r="J43" i="6"/>
  <c r="I40" i="6"/>
  <c r="H37" i="6"/>
  <c r="I49" i="6"/>
  <c r="G42" i="6"/>
  <c r="F42" i="6"/>
  <c r="J49" i="6"/>
  <c r="J37" i="6"/>
  <c r="I55" i="6"/>
  <c r="I43" i="6"/>
  <c r="N33" i="6"/>
  <c r="H52" i="6"/>
  <c r="Y22" i="6"/>
  <c r="Y33" i="6" s="1"/>
  <c r="I22" i="6"/>
  <c r="I33" i="6" s="1"/>
  <c r="F41" i="6"/>
  <c r="J52" i="6"/>
  <c r="F38" i="6"/>
  <c r="I51" i="6"/>
  <c r="I39" i="6"/>
  <c r="J38" i="6"/>
  <c r="J50" i="6"/>
  <c r="AF22" i="6"/>
  <c r="AF33" i="6" s="1"/>
  <c r="P22" i="6"/>
  <c r="P33" i="6" s="1"/>
  <c r="G39" i="6"/>
  <c r="H43" i="6"/>
  <c r="G55" i="6"/>
  <c r="J51" i="6"/>
  <c r="G33" i="6"/>
  <c r="I37" i="6"/>
  <c r="F43" i="6"/>
  <c r="Q33" i="6"/>
  <c r="H49" i="6"/>
  <c r="G49" i="6"/>
  <c r="G37" i="6"/>
  <c r="F55" i="6"/>
  <c r="G41" i="6"/>
  <c r="U33" i="6"/>
  <c r="H54" i="6"/>
  <c r="AE22" i="6"/>
  <c r="AE33" i="6" s="1"/>
  <c r="O22" i="6"/>
  <c r="O33" i="6" s="1"/>
  <c r="J40" i="6"/>
  <c r="J42" i="6"/>
  <c r="J54" i="6"/>
  <c r="G38" i="6"/>
  <c r="AB22" i="6"/>
  <c r="AB33" i="6" s="1"/>
  <c r="H50" i="6"/>
  <c r="H39" i="6"/>
  <c r="G43" i="6"/>
  <c r="J39" i="6"/>
  <c r="F37" i="6"/>
  <c r="I53" i="6"/>
  <c r="J22" i="6"/>
  <c r="J33" i="6" s="1"/>
  <c r="R22" i="3"/>
  <c r="R33" i="3" s="1"/>
  <c r="U22" i="3"/>
  <c r="U33" i="3" s="1"/>
  <c r="Y22" i="3"/>
  <c r="Y33" i="3" s="1"/>
  <c r="K22" i="3"/>
  <c r="K33" i="3" s="1"/>
  <c r="G26" i="3"/>
  <c r="N22" i="3"/>
  <c r="F42" i="3"/>
  <c r="Z22" i="3"/>
  <c r="Z33" i="3" s="1"/>
  <c r="F41" i="3"/>
  <c r="G30" i="3"/>
  <c r="F39" i="3"/>
  <c r="L22" i="3"/>
  <c r="L33" i="3" s="1"/>
  <c r="X27" i="3"/>
  <c r="N28" i="3"/>
  <c r="I51" i="3" s="1"/>
  <c r="S22" i="3"/>
  <c r="S33" i="3" s="1"/>
  <c r="Q31" i="3"/>
  <c r="T22" i="3"/>
  <c r="T33" i="3" s="1"/>
  <c r="F38" i="3"/>
  <c r="G27" i="3"/>
  <c r="Q22" i="3"/>
  <c r="V22" i="3"/>
  <c r="V33" i="3" s="1"/>
  <c r="U29" i="3"/>
  <c r="AD22" i="3"/>
  <c r="AD33" i="3" s="1"/>
  <c r="F43" i="3"/>
  <c r="J22" i="3"/>
  <c r="J33" i="3" s="1"/>
  <c r="AA22" i="3"/>
  <c r="AA33" i="3" s="1"/>
  <c r="Q29" i="3"/>
  <c r="U31" i="3"/>
  <c r="AE22" i="3"/>
  <c r="AE33" i="3" s="1"/>
  <c r="U26" i="3"/>
  <c r="AF22" i="3"/>
  <c r="AF33" i="3" s="1"/>
  <c r="AB22" i="3"/>
  <c r="AB33" i="3" s="1"/>
  <c r="O22" i="3"/>
  <c r="O33" i="3" s="1"/>
  <c r="Q26" i="3"/>
  <c r="F40" i="3"/>
  <c r="G54" i="8" l="1"/>
  <c r="F55" i="8"/>
  <c r="G51" i="8"/>
  <c r="J44" i="8"/>
  <c r="J45" i="8" s="1"/>
  <c r="F53" i="8"/>
  <c r="F49" i="8"/>
  <c r="F51" i="8"/>
  <c r="F73" i="8"/>
  <c r="F72" i="8"/>
  <c r="F74" i="8"/>
  <c r="F44" i="8"/>
  <c r="F45" i="8" s="1"/>
  <c r="H56" i="8"/>
  <c r="F77" i="8"/>
  <c r="F76" i="8"/>
  <c r="F54" i="8"/>
  <c r="J52" i="8"/>
  <c r="H44" i="8"/>
  <c r="G52" i="8"/>
  <c r="G44" i="8"/>
  <c r="G45" i="8" s="1"/>
  <c r="F52" i="8"/>
  <c r="G53" i="8"/>
  <c r="F78" i="8"/>
  <c r="I44" i="8"/>
  <c r="I45" i="8" s="1"/>
  <c r="N33" i="8"/>
  <c r="I56" i="8" s="1"/>
  <c r="H45" i="8"/>
  <c r="F75" i="8"/>
  <c r="G56" i="8"/>
  <c r="J54" i="8"/>
  <c r="J56" i="8"/>
  <c r="G68" i="8"/>
  <c r="H49" i="3"/>
  <c r="H51" i="3"/>
  <c r="G53" i="3"/>
  <c r="F53" i="3"/>
  <c r="H55" i="3"/>
  <c r="G52" i="3"/>
  <c r="G51" i="3"/>
  <c r="J52" i="3"/>
  <c r="G49" i="3"/>
  <c r="J49" i="3"/>
  <c r="J54" i="3"/>
  <c r="H50" i="3"/>
  <c r="G55" i="3"/>
  <c r="F55" i="3"/>
  <c r="H56" i="3"/>
  <c r="G50" i="3"/>
  <c r="F50" i="3"/>
  <c r="G53" i="7"/>
  <c r="F53" i="7"/>
  <c r="X33" i="7"/>
  <c r="H56" i="7" s="1"/>
  <c r="H44" i="7"/>
  <c r="H45" i="7" s="1"/>
  <c r="I54" i="7"/>
  <c r="F54" i="7"/>
  <c r="I44" i="7"/>
  <c r="I45" i="7" s="1"/>
  <c r="N33" i="7"/>
  <c r="I56" i="7" s="1"/>
  <c r="F55" i="7"/>
  <c r="J56" i="7"/>
  <c r="F44" i="7"/>
  <c r="F45" i="7" s="1"/>
  <c r="J49" i="7"/>
  <c r="J44" i="7"/>
  <c r="J45" i="7" s="1"/>
  <c r="G49" i="7"/>
  <c r="G44" i="7"/>
  <c r="G45" i="7" s="1"/>
  <c r="Q33" i="7"/>
  <c r="G56" i="7" s="1"/>
  <c r="J53" i="7"/>
  <c r="F50" i="7"/>
  <c r="J56" i="3"/>
  <c r="F52" i="3"/>
  <c r="G54" i="3"/>
  <c r="F49" i="3"/>
  <c r="F51" i="3"/>
  <c r="J50" i="3"/>
  <c r="F54" i="3"/>
  <c r="F51" i="6"/>
  <c r="I44" i="6"/>
  <c r="G50" i="6"/>
  <c r="F50" i="6"/>
  <c r="F54" i="6"/>
  <c r="H44" i="6"/>
  <c r="F44" i="6"/>
  <c r="J56" i="6"/>
  <c r="F53" i="6"/>
  <c r="J53" i="6"/>
  <c r="G54" i="6"/>
  <c r="H56" i="6"/>
  <c r="G44" i="6"/>
  <c r="F49" i="6"/>
  <c r="J44" i="6"/>
  <c r="G56" i="6"/>
  <c r="F56" i="6"/>
  <c r="I56" i="6"/>
  <c r="G53" i="6"/>
  <c r="F44" i="3"/>
  <c r="F45" i="3" s="1"/>
  <c r="N33" i="3"/>
  <c r="I56" i="3" s="1"/>
  <c r="H45" i="3"/>
  <c r="G45" i="3"/>
  <c r="Q33" i="3"/>
  <c r="G56" i="3" s="1"/>
  <c r="F56" i="8" l="1"/>
  <c r="F56" i="7"/>
  <c r="F56" i="3"/>
  <c r="E39" i="9" l="1"/>
  <c r="E38" i="9"/>
  <c r="K15" i="9"/>
  <c r="E36" i="9"/>
  <c r="E37" i="9"/>
  <c r="F29" i="11" l="1"/>
  <c r="F35" i="11" s="1"/>
  <c r="K38" i="9"/>
  <c r="K37" i="9"/>
  <c r="E29" i="11"/>
  <c r="K36" i="9"/>
  <c r="D29" i="11"/>
  <c r="D35" i="11" s="1"/>
  <c r="G29" i="11"/>
  <c r="G35" i="11" s="1"/>
  <c r="K39" i="9"/>
  <c r="E40" i="9"/>
  <c r="E41" i="9" s="1"/>
  <c r="E35" i="11" l="1"/>
  <c r="H29" i="11"/>
  <c r="H35" i="11" s="1"/>
  <c r="K40" i="9"/>
  <c r="K41" i="9" s="1"/>
  <c r="K20" i="9"/>
  <c r="K21" i="9" l="1"/>
  <c r="K42" i="9" s="1"/>
  <c r="E42" i="9"/>
  <c r="I29" i="11"/>
  <c r="J29" i="11"/>
  <c r="N29" i="11" l="1"/>
  <c r="L29" i="11"/>
  <c r="J35" i="11"/>
  <c r="I35" i="11"/>
  <c r="L61" i="3"/>
  <c r="N35" i="11" l="1"/>
  <c r="L35" i="11"/>
  <c r="L67" i="3"/>
  <c r="L73" i="3" s="1"/>
  <c r="L68" i="3" l="1"/>
  <c r="L74" i="3"/>
  <c r="L77" i="3"/>
  <c r="L78" i="3"/>
  <c r="L76" i="3"/>
  <c r="L75" i="3"/>
  <c r="L72" i="3"/>
</calcChain>
</file>

<file path=xl/sharedStrings.xml><?xml version="1.0" encoding="utf-8"?>
<sst xmlns="http://schemas.openxmlformats.org/spreadsheetml/2006/main" count="978" uniqueCount="89">
  <si>
    <t>Heildarflatarmál eftir fasteignanúmera í gjaldflokkum 6 - 9 í sveitarfélögum sem mynda höfuðborgarsvæðið</t>
  </si>
  <si>
    <t>Keyrt út úr fasteignaskrá Þjóðskrár þann 17. september 2020</t>
  </si>
  <si>
    <t>svfn</t>
  </si>
  <si>
    <t>gjlfl</t>
  </si>
  <si>
    <t>Skýring</t>
  </si>
  <si>
    <t>0000</t>
  </si>
  <si>
    <t>Reykjavík</t>
  </si>
  <si>
    <t>Versl/skrifstofuhús</t>
  </si>
  <si>
    <t>Iðnaðarhús</t>
  </si>
  <si>
    <t>Vörugeymsla</t>
  </si>
  <si>
    <t>Sérhæfð eign</t>
  </si>
  <si>
    <t>Kópavogur</t>
  </si>
  <si>
    <t>Seltjarnarnesbær</t>
  </si>
  <si>
    <t>Garðabær</t>
  </si>
  <si>
    <t>Hafnarfjörður</t>
  </si>
  <si>
    <t>Mosfellsbær</t>
  </si>
  <si>
    <t>Kjósarhreppur</t>
  </si>
  <si>
    <t>Seltjarnarnes</t>
  </si>
  <si>
    <t>Sveitarfélag</t>
  </si>
  <si>
    <t>6,7,8,9</t>
  </si>
  <si>
    <t>Allt atvinnuhúsn.</t>
  </si>
  <si>
    <t>Samtals</t>
  </si>
  <si>
    <t>ÁRLEGUR VÖXTUR Í HVERJU SVEITARFÉLAGI OG HEILD</t>
  </si>
  <si>
    <t>ÁRLEGUR VÖXTUR Í %</t>
  </si>
  <si>
    <t>95-'20</t>
  </si>
  <si>
    <t>05-'20</t>
  </si>
  <si>
    <t>12-'20</t>
  </si>
  <si>
    <t>09-'13</t>
  </si>
  <si>
    <t>02-'04</t>
  </si>
  <si>
    <t>MEÐALTÖL í %</t>
  </si>
  <si>
    <t>SAMANTEKT - ALLT ATVINNUHÚSNÆÐI SKIPT EFTIR SVEITARFÉLÖGUNUM OG HEILD -MÆLT Í M2</t>
  </si>
  <si>
    <t>MEÐALTÖL - ÁKVEÐIN TÍMABIL</t>
  </si>
  <si>
    <t>SAMANTEKT - VERSLUNAR OG SKRIFSTOFUHÚSNÆÐI SKIPT EFTIR SVEITARFÉLÖGUNUM OG HEILD -MÆLT Í M2</t>
  </si>
  <si>
    <t>% Reykjavíkur</t>
  </si>
  <si>
    <t>Iðn og vörugey.</t>
  </si>
  <si>
    <t>SKIPTING MILLI SVEITARFÉLAGA</t>
  </si>
  <si>
    <t>SKIPTING Í %</t>
  </si>
  <si>
    <t>Vöxtur milli tímabila</t>
  </si>
  <si>
    <t>9</t>
  </si>
  <si>
    <t>Samantekt úr skapalónum</t>
  </si>
  <si>
    <t>Yfirlit</t>
  </si>
  <si>
    <t>Rvk</t>
  </si>
  <si>
    <t>Kop</t>
  </si>
  <si>
    <t>Sel</t>
  </si>
  <si>
    <t>Gbæ</t>
  </si>
  <si>
    <t>Hfj</t>
  </si>
  <si>
    <t>Mos</t>
  </si>
  <si>
    <t>Kjs</t>
  </si>
  <si>
    <t>Heimildir í samþykktu deiliskipulagi, alls</t>
  </si>
  <si>
    <t>Heimildir á sv. þar sem framkv. eru hafnar</t>
  </si>
  <si>
    <t>Heimildir á sv. þar sem framkvæmdir eru ekki hafnar</t>
  </si>
  <si>
    <t>Deiliskipulag í vinnslu</t>
  </si>
  <si>
    <t>Þróunarsvæði</t>
  </si>
  <si>
    <t>Alls, heimildir og áætlaðar heimildir til framtíðar</t>
  </si>
  <si>
    <t>Áætlað fullgert 2020-2024, á ári og samtals</t>
  </si>
  <si>
    <t>2020 (6 mán. Q3-Q4)</t>
  </si>
  <si>
    <t>2023</t>
  </si>
  <si>
    <t>2024</t>
  </si>
  <si>
    <t>Meðaltal pr. ár, 2020-2024 (4,5 ár)</t>
  </si>
  <si>
    <t>Þróunarsvæði, áætlaðar heimildir</t>
  </si>
  <si>
    <t>Framtíðarsvæði/lauslegar hugmyndir, áætlaðar heimildir</t>
  </si>
  <si>
    <t>Skýringar</t>
  </si>
  <si>
    <t>A</t>
  </si>
  <si>
    <t>A1</t>
  </si>
  <si>
    <t>A2</t>
  </si>
  <si>
    <t>B</t>
  </si>
  <si>
    <t>C</t>
  </si>
  <si>
    <t>C1</t>
  </si>
  <si>
    <t>C2</t>
  </si>
  <si>
    <t>Alls</t>
  </si>
  <si>
    <t>Áætluð árleg fjölgun íbúða úr skapalónum sveitarfélaganna og samanburður við langtímameðaltöl</t>
  </si>
  <si>
    <t>Áætlaður fjöldi fullbúinna íbúða á markað</t>
  </si>
  <si>
    <t>Nýtt meðalt.</t>
  </si>
  <si>
    <t>Eldra meðaltal</t>
  </si>
  <si>
    <t>2020 (Q3-Q4)</t>
  </si>
  <si>
    <t>2020-24</t>
  </si>
  <si>
    <t>Síðustu 4 ár</t>
  </si>
  <si>
    <t>Kjósarhreppur (tölur bárust ekki)</t>
  </si>
  <si>
    <t>Þróunaráætlun atvinnuhúsnæðis (atvinnu- og sérhæft húsnæði)</t>
  </si>
  <si>
    <t>Heimildir í gildandi skipulagi sem ekki er búið að virkja, ásamt áætluðum heimildum í þróun og til framtíðar (fm)</t>
  </si>
  <si>
    <t>17-'20</t>
  </si>
  <si>
    <t>99-'19</t>
  </si>
  <si>
    <t>Samt. að meðalt.</t>
  </si>
  <si>
    <r>
      <t xml:space="preserve">Samantekt úr skapalónum </t>
    </r>
    <r>
      <rPr>
        <b/>
        <sz val="14"/>
        <color rgb="FFFF0000"/>
        <rFont val="Calibri"/>
        <family val="2"/>
        <scheme val="minor"/>
      </rPr>
      <t>AFRÚNNAÐ, NOTAÐ Í GREININGU</t>
    </r>
  </si>
  <si>
    <t>* meðaltal nýrra skráðra fermetra á ári frá 1999 til 2019</t>
  </si>
  <si>
    <t>%</t>
  </si>
  <si>
    <t>% af núv.</t>
  </si>
  <si>
    <t>Núverandi</t>
  </si>
  <si>
    <t>Langtíma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</si>
</sst>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30"/>
      <color theme="1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 tint="0.34998626667073579"/>
      <name val="Calibri"/>
      <family val="2"/>
      <scheme val="minor"/>
    </font>
    <font>
      <sz val="12"/>
      <color theme="1" tint="0.3499862666707357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D4D4D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medium">
        <color indexed="64"/>
      </right>
      <top style="hair">
        <color auto="1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/>
      <bottom style="hair">
        <color auto="1"/>
      </bottom>
      <diagonal/>
    </border>
    <border>
      <left/>
      <right style="medium">
        <color indexed="64"/>
      </right>
      <top/>
      <bottom style="hair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4">
    <xf numFmtId="0" fontId="0" fillId="0" borderId="0" xfId="0"/>
    <xf numFmtId="3" fontId="0" fillId="0" borderId="0" xfId="0" applyNumberFormat="1"/>
    <xf numFmtId="0" fontId="2" fillId="2" borderId="0" xfId="0" applyFont="1" applyFill="1"/>
    <xf numFmtId="3" fontId="0" fillId="0" borderId="1" xfId="0" applyNumberFormat="1" applyBorder="1"/>
    <xf numFmtId="49" fontId="4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left"/>
    </xf>
    <xf numFmtId="49" fontId="3" fillId="3" borderId="0" xfId="0" applyNumberFormat="1" applyFont="1" applyFill="1" applyAlignment="1">
      <alignment horizontal="left"/>
    </xf>
    <xf numFmtId="0" fontId="3" fillId="3" borderId="0" xfId="0" applyFont="1" applyFill="1" applyAlignment="1">
      <alignment horizontal="center"/>
    </xf>
    <xf numFmtId="0" fontId="3" fillId="3" borderId="0" xfId="0" applyFont="1" applyFill="1"/>
    <xf numFmtId="0" fontId="0" fillId="0" borderId="0" xfId="0" applyAlignment="1">
      <alignment horizontal="left"/>
    </xf>
    <xf numFmtId="164" fontId="0" fillId="0" borderId="0" xfId="0" applyNumberFormat="1"/>
    <xf numFmtId="16" fontId="0" fillId="0" borderId="0" xfId="0" applyNumberFormat="1" applyAlignment="1">
      <alignment horizontal="center"/>
    </xf>
    <xf numFmtId="0" fontId="2" fillId="2" borderId="0" xfId="0" applyFont="1" applyFill="1" applyAlignment="1">
      <alignment horizontal="left"/>
    </xf>
    <xf numFmtId="0" fontId="2" fillId="2" borderId="0" xfId="0" applyFont="1" applyFill="1" applyAlignment="1">
      <alignment horizontal="center"/>
    </xf>
    <xf numFmtId="0" fontId="3" fillId="0" borderId="0" xfId="0" applyFont="1"/>
    <xf numFmtId="0" fontId="0" fillId="0" borderId="1" xfId="0" applyBorder="1" applyAlignment="1">
      <alignment horizontal="left"/>
    </xf>
    <xf numFmtId="16" fontId="0" fillId="0" borderId="1" xfId="0" applyNumberFormat="1" applyBorder="1" applyAlignment="1">
      <alignment horizontal="center"/>
    </xf>
    <xf numFmtId="0" fontId="0" fillId="0" borderId="1" xfId="0" applyBorder="1"/>
    <xf numFmtId="9" fontId="0" fillId="0" borderId="0" xfId="1" applyFont="1"/>
    <xf numFmtId="165" fontId="0" fillId="0" borderId="0" xfId="1" applyNumberFormat="1" applyFont="1"/>
    <xf numFmtId="165" fontId="0" fillId="0" borderId="1" xfId="1" applyNumberFormat="1" applyFont="1" applyBorder="1"/>
    <xf numFmtId="0" fontId="3" fillId="3" borderId="0" xfId="0" quotePrefix="1" applyFont="1" applyFill="1"/>
    <xf numFmtId="49" fontId="0" fillId="0" borderId="0" xfId="0" applyNumberFormat="1" applyAlignment="1">
      <alignment horizontal="center"/>
    </xf>
    <xf numFmtId="49" fontId="0" fillId="0" borderId="1" xfId="0" applyNumberFormat="1" applyBorder="1" applyAlignment="1">
      <alignment horizontal="center"/>
    </xf>
    <xf numFmtId="9" fontId="0" fillId="0" borderId="1" xfId="1" applyFont="1" applyBorder="1"/>
    <xf numFmtId="0" fontId="3" fillId="4" borderId="0" xfId="0" applyFont="1" applyFill="1"/>
    <xf numFmtId="0" fontId="0" fillId="5" borderId="0" xfId="0" applyFill="1" applyAlignment="1">
      <alignment horizontal="left"/>
    </xf>
    <xf numFmtId="0" fontId="0" fillId="5" borderId="0" xfId="0" applyFill="1" applyAlignment="1">
      <alignment horizontal="center"/>
    </xf>
    <xf numFmtId="0" fontId="0" fillId="5" borderId="0" xfId="0" applyFill="1"/>
    <xf numFmtId="9" fontId="0" fillId="5" borderId="0" xfId="1" applyFont="1" applyFill="1"/>
    <xf numFmtId="9" fontId="0" fillId="6" borderId="0" xfId="1" applyFont="1" applyFill="1"/>
    <xf numFmtId="49" fontId="2" fillId="2" borderId="0" xfId="0" applyNumberFormat="1" applyFont="1" applyFill="1" applyAlignment="1">
      <alignment horizontal="center"/>
    </xf>
    <xf numFmtId="49" fontId="0" fillId="5" borderId="0" xfId="0" applyNumberFormat="1" applyFill="1" applyAlignment="1">
      <alignment horizontal="center"/>
    </xf>
    <xf numFmtId="3" fontId="0" fillId="0" borderId="0" xfId="0" applyNumberFormat="1" applyAlignment="1">
      <alignment horizontal="center"/>
    </xf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wrapText="1"/>
    </xf>
    <xf numFmtId="3" fontId="8" fillId="3" borderId="3" xfId="0" applyNumberFormat="1" applyFont="1" applyFill="1" applyBorder="1" applyAlignment="1">
      <alignment horizontal="center" vertical="center"/>
    </xf>
    <xf numFmtId="166" fontId="8" fillId="3" borderId="4" xfId="0" applyNumberFormat="1" applyFont="1" applyFill="1" applyBorder="1" applyAlignment="1">
      <alignment horizontal="left" vertical="center"/>
    </xf>
    <xf numFmtId="3" fontId="8" fillId="3" borderId="4" xfId="0" applyNumberFormat="1" applyFont="1" applyFill="1" applyBorder="1" applyAlignment="1">
      <alignment horizontal="center" vertical="center"/>
    </xf>
    <xf numFmtId="3" fontId="8" fillId="3" borderId="5" xfId="0" applyNumberFormat="1" applyFont="1" applyFill="1" applyBorder="1" applyAlignment="1">
      <alignment horizontal="left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left" indent="1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center"/>
    </xf>
    <xf numFmtId="0" fontId="9" fillId="0" borderId="7" xfId="0" applyFont="1" applyBorder="1" applyAlignment="1">
      <alignment horizontal="left" indent="3"/>
    </xf>
    <xf numFmtId="3" fontId="9" fillId="0" borderId="7" xfId="0" applyNumberFormat="1" applyFont="1" applyBorder="1" applyAlignment="1">
      <alignment horizontal="center"/>
    </xf>
    <xf numFmtId="3" fontId="9" fillId="0" borderId="8" xfId="0" applyNumberFormat="1" applyFon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1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left" indent="1"/>
    </xf>
    <xf numFmtId="3" fontId="0" fillId="0" borderId="14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0" xfId="0" applyNumberFormat="1" applyAlignment="1">
      <alignment horizontal="left"/>
    </xf>
    <xf numFmtId="3" fontId="8" fillId="3" borderId="4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 indent="1"/>
    </xf>
    <xf numFmtId="3" fontId="0" fillId="0" borderId="16" xfId="0" applyNumberFormat="1" applyBorder="1" applyAlignment="1">
      <alignment horizontal="center"/>
    </xf>
    <xf numFmtId="3" fontId="0" fillId="0" borderId="8" xfId="0" applyNumberFormat="1" applyBorder="1" applyAlignment="1">
      <alignment horizontal="right" indent="2"/>
    </xf>
    <xf numFmtId="49" fontId="0" fillId="0" borderId="7" xfId="0" applyNumberFormat="1" applyBorder="1" applyAlignment="1">
      <alignment horizontal="left" indent="1"/>
    </xf>
    <xf numFmtId="49" fontId="0" fillId="0" borderId="0" xfId="0" applyNumberFormat="1" applyAlignment="1">
      <alignment horizontal="left" indent="1"/>
    </xf>
    <xf numFmtId="3" fontId="0" fillId="0" borderId="17" xfId="0" applyNumberFormat="1" applyBorder="1" applyAlignment="1">
      <alignment horizontal="right" indent="2"/>
    </xf>
    <xf numFmtId="0" fontId="0" fillId="0" borderId="18" xfId="0" applyBorder="1" applyAlignment="1">
      <alignment horizontal="center"/>
    </xf>
    <xf numFmtId="49" fontId="0" fillId="0" borderId="1" xfId="0" applyNumberFormat="1" applyBorder="1" applyAlignment="1">
      <alignment horizontal="left" indent="1"/>
    </xf>
    <xf numFmtId="3" fontId="0" fillId="0" borderId="1" xfId="0" applyNumberFormat="1" applyBorder="1" applyAlignment="1">
      <alignment horizontal="center"/>
    </xf>
    <xf numFmtId="3" fontId="0" fillId="0" borderId="19" xfId="0" applyNumberFormat="1" applyBorder="1" applyAlignment="1">
      <alignment horizontal="right" indent="2"/>
    </xf>
    <xf numFmtId="49" fontId="0" fillId="0" borderId="14" xfId="0" applyNumberFormat="1" applyBorder="1" applyAlignment="1">
      <alignment horizontal="left" indent="1"/>
    </xf>
    <xf numFmtId="3" fontId="0" fillId="0" borderId="15" xfId="0" applyNumberFormat="1" applyBorder="1" applyAlignment="1">
      <alignment horizontal="right" indent="2"/>
    </xf>
    <xf numFmtId="0" fontId="3" fillId="0" borderId="0" xfId="0" applyFont="1" applyAlignment="1">
      <alignment horizontal="center"/>
    </xf>
    <xf numFmtId="0" fontId="9" fillId="0" borderId="7" xfId="0" applyFont="1" applyBorder="1" applyAlignment="1">
      <alignment horizontal="left" indent="2"/>
    </xf>
    <xf numFmtId="0" fontId="9" fillId="0" borderId="11" xfId="0" applyFont="1" applyBorder="1" applyAlignment="1">
      <alignment horizontal="left" indent="2"/>
    </xf>
    <xf numFmtId="0" fontId="10" fillId="0" borderId="0" xfId="0" applyFont="1"/>
    <xf numFmtId="0" fontId="11" fillId="0" borderId="0" xfId="0" applyFont="1"/>
    <xf numFmtId="3" fontId="7" fillId="2" borderId="0" xfId="0" applyNumberFormat="1" applyFont="1" applyFill="1" applyAlignment="1">
      <alignment horizontal="left"/>
    </xf>
    <xf numFmtId="3" fontId="8" fillId="3" borderId="0" xfId="0" applyNumberFormat="1" applyFont="1" applyFill="1" applyAlignment="1">
      <alignment horizontal="center" vertical="center"/>
    </xf>
    <xf numFmtId="166" fontId="8" fillId="3" borderId="0" xfId="0" applyNumberFormat="1" applyFont="1" applyFill="1" applyAlignment="1">
      <alignment horizontal="left" vertical="center"/>
    </xf>
    <xf numFmtId="0" fontId="3" fillId="0" borderId="16" xfId="0" applyFont="1" applyBorder="1" applyAlignment="1">
      <alignment horizontal="center"/>
    </xf>
    <xf numFmtId="0" fontId="0" fillId="0" borderId="16" xfId="0" applyBorder="1" applyAlignment="1">
      <alignment horizontal="left" indent="1"/>
    </xf>
    <xf numFmtId="0" fontId="0" fillId="0" borderId="16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9" fillId="0" borderId="20" xfId="0" applyFont="1" applyBorder="1" applyAlignment="1">
      <alignment horizontal="left" indent="2"/>
    </xf>
    <xf numFmtId="0" fontId="0" fillId="0" borderId="20" xfId="0" applyBorder="1" applyAlignment="1">
      <alignment horizontal="center"/>
    </xf>
    <xf numFmtId="3" fontId="8" fillId="3" borderId="0" xfId="0" applyNumberFormat="1" applyFont="1" applyFill="1" applyAlignment="1">
      <alignment horizontal="left" vertical="center"/>
    </xf>
    <xf numFmtId="3" fontId="9" fillId="0" borderId="7" xfId="0" applyNumberFormat="1" applyFont="1" applyBorder="1" applyAlignment="1">
      <alignment horizontal="right" indent="1"/>
    </xf>
    <xf numFmtId="0" fontId="0" fillId="0" borderId="11" xfId="0" applyBorder="1" applyAlignment="1">
      <alignment horizontal="center"/>
    </xf>
    <xf numFmtId="0" fontId="0" fillId="0" borderId="11" xfId="0" applyBorder="1" applyAlignment="1">
      <alignment horizontal="left" indent="1"/>
    </xf>
    <xf numFmtId="0" fontId="3" fillId="0" borderId="0" xfId="0" applyFont="1" applyAlignment="1">
      <alignment horizontal="left"/>
    </xf>
    <xf numFmtId="49" fontId="8" fillId="3" borderId="0" xfId="0" applyNumberFormat="1" applyFont="1" applyFill="1" applyAlignment="1">
      <alignment horizontal="center" vertical="center"/>
    </xf>
    <xf numFmtId="49" fontId="8" fillId="6" borderId="0" xfId="0" applyNumberFormat="1" applyFont="1" applyFill="1" applyAlignment="1">
      <alignment horizontal="center" vertical="center"/>
    </xf>
    <xf numFmtId="3" fontId="8" fillId="8" borderId="0" xfId="0" applyNumberFormat="1" applyFont="1" applyFill="1" applyAlignment="1">
      <alignment horizontal="center" vertical="center"/>
    </xf>
    <xf numFmtId="49" fontId="8" fillId="9" borderId="0" xfId="0" applyNumberFormat="1" applyFont="1" applyFill="1" applyAlignment="1">
      <alignment horizontal="center" vertical="center"/>
    </xf>
    <xf numFmtId="49" fontId="8" fillId="9" borderId="16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 wrapText="1"/>
    </xf>
    <xf numFmtId="0" fontId="0" fillId="0" borderId="7" xfId="0" applyFill="1" applyBorder="1" applyAlignment="1">
      <alignment horizontal="center"/>
    </xf>
    <xf numFmtId="0" fontId="0" fillId="0" borderId="7" xfId="0" applyFill="1" applyBorder="1" applyAlignment="1">
      <alignment horizontal="left" indent="1"/>
    </xf>
    <xf numFmtId="0" fontId="0" fillId="0" borderId="0" xfId="0" applyFill="1" applyAlignment="1">
      <alignment horizontal="center"/>
    </xf>
    <xf numFmtId="0" fontId="0" fillId="0" borderId="0" xfId="0" applyBorder="1"/>
    <xf numFmtId="3" fontId="8" fillId="3" borderId="0" xfId="0" applyNumberFormat="1" applyFont="1" applyFill="1" applyBorder="1" applyAlignment="1">
      <alignment horizontal="center" vertical="center"/>
    </xf>
    <xf numFmtId="3" fontId="8" fillId="3" borderId="0" xfId="0" applyNumberFormat="1" applyFont="1" applyFill="1" applyBorder="1" applyAlignment="1">
      <alignment horizontal="left" vertical="center"/>
    </xf>
    <xf numFmtId="3" fontId="9" fillId="0" borderId="16" xfId="0" applyNumberFormat="1" applyFont="1" applyBorder="1" applyAlignment="1">
      <alignment horizontal="right" indent="1"/>
    </xf>
    <xf numFmtId="3" fontId="9" fillId="0" borderId="11" xfId="0" applyNumberFormat="1" applyFont="1" applyBorder="1" applyAlignment="1">
      <alignment horizontal="right" indent="1"/>
    </xf>
    <xf numFmtId="0" fontId="0" fillId="0" borderId="0" xfId="0" applyFill="1"/>
    <xf numFmtId="0" fontId="0" fillId="0" borderId="21" xfId="0" applyBorder="1" applyAlignment="1">
      <alignment horizontal="center"/>
    </xf>
    <xf numFmtId="3" fontId="0" fillId="0" borderId="22" xfId="0" applyNumberFormat="1" applyBorder="1" applyAlignment="1">
      <alignment horizontal="center"/>
    </xf>
    <xf numFmtId="3" fontId="9" fillId="0" borderId="11" xfId="0" applyNumberFormat="1" applyFont="1" applyBorder="1" applyAlignment="1">
      <alignment horizontal="center"/>
    </xf>
    <xf numFmtId="3" fontId="9" fillId="0" borderId="12" xfId="0" applyNumberFormat="1" applyFont="1" applyBorder="1" applyAlignment="1">
      <alignment horizontal="center"/>
    </xf>
    <xf numFmtId="3" fontId="3" fillId="0" borderId="16" xfId="0" applyNumberFormat="1" applyFont="1" applyBorder="1" applyAlignment="1">
      <alignment horizontal="right" indent="1"/>
    </xf>
    <xf numFmtId="3" fontId="3" fillId="0" borderId="7" xfId="0" applyNumberFormat="1" applyFont="1" applyBorder="1" applyAlignment="1">
      <alignment horizontal="right" indent="1"/>
    </xf>
    <xf numFmtId="3" fontId="3" fillId="0" borderId="11" xfId="0" applyNumberFormat="1" applyFont="1" applyBorder="1" applyAlignment="1">
      <alignment horizontal="right" indent="1"/>
    </xf>
    <xf numFmtId="3" fontId="3" fillId="0" borderId="0" xfId="0" applyNumberFormat="1" applyFont="1" applyAlignment="1">
      <alignment horizontal="right" indent="1"/>
    </xf>
    <xf numFmtId="3" fontId="9" fillId="0" borderId="0" xfId="0" applyNumberFormat="1" applyFont="1" applyAlignment="1">
      <alignment horizontal="right" indent="1"/>
    </xf>
    <xf numFmtId="3" fontId="13" fillId="0" borderId="7" xfId="0" applyNumberFormat="1" applyFont="1" applyBorder="1" applyAlignment="1">
      <alignment horizontal="right" indent="1"/>
    </xf>
    <xf numFmtId="3" fontId="13" fillId="6" borderId="7" xfId="0" applyNumberFormat="1" applyFont="1" applyFill="1" applyBorder="1" applyAlignment="1">
      <alignment horizontal="right" indent="1"/>
    </xf>
    <xf numFmtId="3" fontId="13" fillId="0" borderId="7" xfId="0" applyNumberFormat="1" applyFont="1" applyFill="1" applyBorder="1" applyAlignment="1">
      <alignment horizontal="right" indent="1"/>
    </xf>
    <xf numFmtId="3" fontId="13" fillId="0" borderId="11" xfId="0" applyNumberFormat="1" applyFont="1" applyBorder="1" applyAlignment="1">
      <alignment horizontal="right" indent="1"/>
    </xf>
    <xf numFmtId="3" fontId="13" fillId="6" borderId="11" xfId="0" applyNumberFormat="1" applyFont="1" applyFill="1" applyBorder="1" applyAlignment="1">
      <alignment horizontal="right" indent="1"/>
    </xf>
    <xf numFmtId="3" fontId="13" fillId="0" borderId="0" xfId="0" applyNumberFormat="1" applyFont="1" applyBorder="1" applyAlignment="1">
      <alignment horizontal="right" indent="2"/>
    </xf>
    <xf numFmtId="3" fontId="13" fillId="0" borderId="0" xfId="0" applyNumberFormat="1" applyFont="1" applyBorder="1" applyAlignment="1">
      <alignment horizontal="right" indent="1"/>
    </xf>
    <xf numFmtId="3" fontId="13" fillId="0" borderId="0" xfId="0" applyNumberFormat="1" applyFont="1" applyAlignment="1">
      <alignment horizontal="right" indent="1"/>
    </xf>
    <xf numFmtId="3" fontId="13" fillId="6" borderId="0" xfId="0" applyNumberFormat="1" applyFont="1" applyFill="1" applyBorder="1" applyAlignment="1">
      <alignment horizontal="right" indent="1"/>
    </xf>
    <xf numFmtId="9" fontId="13" fillId="0" borderId="16" xfId="1" applyFont="1" applyBorder="1" applyAlignment="1">
      <alignment horizontal="center"/>
    </xf>
    <xf numFmtId="9" fontId="13" fillId="0" borderId="11" xfId="1" applyFont="1" applyBorder="1" applyAlignment="1">
      <alignment horizontal="center"/>
    </xf>
    <xf numFmtId="9" fontId="13" fillId="0" borderId="0" xfId="1" applyFont="1" applyBorder="1" applyAlignment="1">
      <alignment horizontal="center"/>
    </xf>
    <xf numFmtId="49" fontId="14" fillId="3" borderId="0" xfId="0" applyNumberFormat="1" applyFont="1" applyFill="1" applyAlignment="1">
      <alignment horizontal="center" vertical="center"/>
    </xf>
    <xf numFmtId="3" fontId="15" fillId="0" borderId="16" xfId="0" applyNumberFormat="1" applyFont="1" applyBorder="1" applyAlignment="1">
      <alignment horizontal="right" indent="2"/>
    </xf>
    <xf numFmtId="3" fontId="15" fillId="0" borderId="7" xfId="0" applyNumberFormat="1" applyFont="1" applyBorder="1" applyAlignment="1">
      <alignment horizontal="right" indent="2"/>
    </xf>
    <xf numFmtId="3" fontId="15" fillId="0" borderId="11" xfId="0" applyNumberFormat="1" applyFont="1" applyBorder="1" applyAlignment="1">
      <alignment horizontal="right" indent="2"/>
    </xf>
    <xf numFmtId="3" fontId="15" fillId="0" borderId="0" xfId="0" applyNumberFormat="1" applyFont="1" applyAlignment="1">
      <alignment horizontal="right" indent="2"/>
    </xf>
    <xf numFmtId="49" fontId="8" fillId="9" borderId="0" xfId="0" applyNumberFormat="1" applyFont="1" applyFill="1" applyAlignment="1">
      <alignment horizontal="left" vertical="center"/>
    </xf>
    <xf numFmtId="9" fontId="13" fillId="0" borderId="7" xfId="1" applyFont="1" applyBorder="1" applyAlignment="1">
      <alignment horizontal="right" indent="1"/>
    </xf>
    <xf numFmtId="9" fontId="13" fillId="0" borderId="7" xfId="1" applyFont="1" applyFill="1" applyBorder="1" applyAlignment="1">
      <alignment horizontal="right" indent="1"/>
    </xf>
    <xf numFmtId="9" fontId="13" fillId="0" borderId="11" xfId="1" applyFont="1" applyBorder="1" applyAlignment="1">
      <alignment horizontal="right" indent="1"/>
    </xf>
    <xf numFmtId="9" fontId="13" fillId="0" borderId="0" xfId="1" applyFont="1" applyAlignment="1">
      <alignment horizontal="right" indent="1"/>
    </xf>
    <xf numFmtId="49" fontId="8" fillId="3" borderId="0" xfId="0" applyNumberFormat="1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3" fontId="7" fillId="2" borderId="0" xfId="0" applyNumberFormat="1" applyFont="1" applyFill="1" applyAlignment="1">
      <alignment horizontal="left"/>
    </xf>
    <xf numFmtId="3" fontId="7" fillId="7" borderId="2" xfId="0" applyNumberFormat="1" applyFont="1" applyFill="1" applyBorder="1" applyAlignment="1">
      <alignment horizontal="center"/>
    </xf>
    <xf numFmtId="3" fontId="7" fillId="7" borderId="0" xfId="0" applyNumberFormat="1" applyFont="1" applyFill="1" applyAlignment="1">
      <alignment horizontal="center"/>
    </xf>
    <xf numFmtId="3" fontId="0" fillId="0" borderId="12" xfId="0" applyNumberFormat="1" applyBorder="1" applyAlignment="1">
      <alignment horizontal="right" indent="2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'THROUNARAÆTLUN ATV'!$E$27:$H$27</c:f>
              <c:numCache>
                <c:formatCode>@</c:formatCode>
                <c:ptCount val="4"/>
                <c:pt idx="0">
                  <c:v>2021</c:v>
                </c:pt>
                <c:pt idx="1">
                  <c:v>2022</c:v>
                </c:pt>
                <c:pt idx="2">
                  <c:v>2023</c:v>
                </c:pt>
                <c:pt idx="3">
                  <c:v>2024</c:v>
                </c:pt>
              </c:numCache>
            </c:numRef>
          </c:cat>
          <c:val>
            <c:numRef>
              <c:f>'THROUNARAÆTLUN ATV'!$E$35:$H$35</c:f>
              <c:numCache>
                <c:formatCode>#,##0</c:formatCode>
                <c:ptCount val="4"/>
                <c:pt idx="0">
                  <c:v>98600</c:v>
                </c:pt>
                <c:pt idx="1">
                  <c:v>71600</c:v>
                </c:pt>
                <c:pt idx="2">
                  <c:v>110500</c:v>
                </c:pt>
                <c:pt idx="3">
                  <c:v>143900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F4-4D01-9390-CF56B0DB8F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74672047"/>
        <c:axId val="1371408543"/>
      </c:barChart>
      <c:catAx>
        <c:axId val="974672047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371408543"/>
        <c:crosses val="autoZero"/>
        <c:auto val="1"/>
        <c:lblAlgn val="ctr"/>
        <c:lblOffset val="100"/>
        <c:noMultiLvlLbl val="0"/>
      </c:catAx>
      <c:valAx>
        <c:axId val="1371408543"/>
        <c:scaling>
          <c:orientation val="minMax"/>
          <c:max val="15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9746720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'THROUNARAÆTLUN ATV'!$J$27</c:f>
              <c:strCache>
                <c:ptCount val="1"/>
                <c:pt idx="0">
                  <c:v>2020-24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2"/>
              <c:layout>
                <c:manualLayout>
                  <c:x val="-5.4677721867428118E-17"/>
                  <c:y val="7.87037037037036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B4-4A0D-B826-DDA4F6A0BF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'THROUNARAÆTLUN ATV'!$C$28:$C$33</c:f>
              <c:strCache>
                <c:ptCount val="6"/>
                <c:pt idx="0">
                  <c:v>Reykjavík</c:v>
                </c:pt>
                <c:pt idx="1">
                  <c:v>Kópavogur</c:v>
                </c:pt>
                <c:pt idx="2">
                  <c:v>Seltjarnarnes</c:v>
                </c:pt>
                <c:pt idx="3">
                  <c:v>Garðabær</c:v>
                </c:pt>
                <c:pt idx="4">
                  <c:v>Hafnarfjörður</c:v>
                </c:pt>
                <c:pt idx="5">
                  <c:v>Mosfellsbær</c:v>
                </c:pt>
              </c:strCache>
            </c:strRef>
          </c:cat>
          <c:val>
            <c:numRef>
              <c:f>'THROUNARAÆTLUN ATV'!$J$28:$J$33</c:f>
              <c:numCache>
                <c:formatCode>#,##0</c:formatCode>
                <c:ptCount val="6"/>
                <c:pt idx="0">
                  <c:v>64800</c:v>
                </c:pt>
                <c:pt idx="1">
                  <c:v>4825</c:v>
                </c:pt>
                <c:pt idx="2">
                  <c:v>0</c:v>
                </c:pt>
                <c:pt idx="3">
                  <c:v>7825</c:v>
                </c:pt>
                <c:pt idx="4">
                  <c:v>15500</c:v>
                </c:pt>
                <c:pt idx="5">
                  <c:v>13200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B4-4A0D-B826-DDA4F6A0BF19}"/>
            </c:ext>
          </c:extLst>
        </c:ser>
        <c:ser>
          <c:idx val="1"/>
          <c:order val="1"/>
          <c:tx>
            <c:strRef>
              <c:f>'THROUNARAÆTLUN ATV'!$K$27</c:f>
              <c:strCache>
                <c:ptCount val="1"/>
                <c:pt idx="0">
                  <c:v>Langtíma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-1.388888888888889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B4-4A0D-B826-DDA4F6A0BF1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'THROUNARAÆTLUN ATV'!$C$28:$C$33</c:f>
              <c:strCache>
                <c:ptCount val="6"/>
                <c:pt idx="0">
                  <c:v>Reykjavík</c:v>
                </c:pt>
                <c:pt idx="1">
                  <c:v>Kópavogur</c:v>
                </c:pt>
                <c:pt idx="2">
                  <c:v>Seltjarnarnes</c:v>
                </c:pt>
                <c:pt idx="3">
                  <c:v>Garðabær</c:v>
                </c:pt>
                <c:pt idx="4">
                  <c:v>Hafnarfjörður</c:v>
                </c:pt>
                <c:pt idx="5">
                  <c:v>Mosfellsbær</c:v>
                </c:pt>
              </c:strCache>
            </c:strRef>
          </c:cat>
          <c:val>
            <c:numRef>
              <c:f>'THROUNARAÆTLUN ATV'!$K$28:$K$33</c:f>
              <c:numCache>
                <c:formatCode>#,##0</c:formatCode>
                <c:ptCount val="6"/>
                <c:pt idx="0">
                  <c:v>63000</c:v>
                </c:pt>
                <c:pt idx="1">
                  <c:v>23300</c:v>
                </c:pt>
                <c:pt idx="2">
                  <c:v>700</c:v>
                </c:pt>
                <c:pt idx="3">
                  <c:v>9100</c:v>
                </c:pt>
                <c:pt idx="4">
                  <c:v>24700</c:v>
                </c:pt>
                <c:pt idx="5">
                  <c:v>6900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B4-4A0D-B826-DDA4F6A0BF19}"/>
            </c:ext>
          </c:extLst>
        </c:ser>
        <c:ser>
          <c:idx val="2"/>
          <c:order val="2"/>
          <c:tx>
            <c:strRef>
              <c:f>'THROUNARAÆTLUN ATV'!$M$27</c:f>
              <c:strCache>
                <c:ptCount val="1"/>
                <c:pt idx="0">
                  <c:v>Síðustu 4 ár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'THROUNARAÆTLUN ATV'!$C$28:$C$33</c:f>
              <c:strCache>
                <c:ptCount val="6"/>
                <c:pt idx="0">
                  <c:v>Reykjavík</c:v>
                </c:pt>
                <c:pt idx="1">
                  <c:v>Kópavogur</c:v>
                </c:pt>
                <c:pt idx="2">
                  <c:v>Seltjarnarnes</c:v>
                </c:pt>
                <c:pt idx="3">
                  <c:v>Garðabær</c:v>
                </c:pt>
                <c:pt idx="4">
                  <c:v>Hafnarfjörður</c:v>
                </c:pt>
                <c:pt idx="5">
                  <c:v>Mosfellsbær</c:v>
                </c:pt>
              </c:strCache>
            </c:strRef>
          </c:cat>
          <c:val>
            <c:numRef>
              <c:f>'THROUNARAÆTLUN ATV'!$M$28:$M$33</c:f>
              <c:numCache>
                <c:formatCode>#,##0</c:formatCode>
                <c:ptCount val="6"/>
                <c:pt idx="0">
                  <c:v>56900</c:v>
                </c:pt>
                <c:pt idx="1">
                  <c:v>5200</c:v>
                </c:pt>
                <c:pt idx="2">
                  <c:v>400</c:v>
                </c:pt>
                <c:pt idx="3">
                  <c:v>2800</c:v>
                </c:pt>
                <c:pt idx="4">
                  <c:v>19100</c:v>
                </c:pt>
                <c:pt idx="5">
                  <c:v>9800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B4-4A0D-B826-DDA4F6A0BF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864932975"/>
        <c:axId val="1831439231"/>
      </c:barChart>
      <c:catAx>
        <c:axId val="18649329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831439231"/>
        <c:crosses val="autoZero"/>
        <c:auto val="1"/>
        <c:lblAlgn val="ctr"/>
        <c:lblOffset val="100"/>
        <c:noMultiLvlLbl val="0"/>
      </c:catAx>
      <c:valAx>
        <c:axId val="1831439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s-IS"/>
          </a:p>
        </c:txPr>
        <c:crossAx val="18649329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141514</xdr:colOff>
      <xdr:row>24</xdr:row>
      <xdr:rowOff>4762</xdr:rowOff>
    </xdr:from>
    <xdr:to>
      <xdr:col>24</xdr:col>
      <xdr:colOff>465364</xdr:colOff>
      <xdr:row>35</xdr:row>
      <xdr:rowOff>56029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DFE9B4E-8D24-4172-9E41-201339EA30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593910</xdr:colOff>
      <xdr:row>23</xdr:row>
      <xdr:rowOff>12326</xdr:rowOff>
    </xdr:from>
    <xdr:to>
      <xdr:col>39</xdr:col>
      <xdr:colOff>33617</xdr:colOff>
      <xdr:row>35</xdr:row>
      <xdr:rowOff>66114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15CA7F6D-E294-475F-805C-A7D421B963C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3E80FB-3B86-42B6-BA5E-48B69557BD10}">
  <dimension ref="A2:AE42"/>
  <sheetViews>
    <sheetView showGridLines="0" tabSelected="1" topLeftCell="A10" zoomScaleNormal="100" workbookViewId="0">
      <selection activeCell="P13" sqref="P13"/>
    </sheetView>
  </sheetViews>
  <sheetFormatPr defaultRowHeight="18" customHeight="1" x14ac:dyDescent="0.25"/>
  <cols>
    <col min="1" max="1" width="4.7109375" style="37" customWidth="1"/>
    <col min="2" max="2" width="4.85546875" style="5" customWidth="1"/>
    <col min="3" max="3" width="44.5703125" customWidth="1"/>
    <col min="4" max="10" width="13.140625" style="5" customWidth="1"/>
    <col min="11" max="11" width="13" style="10" customWidth="1"/>
    <col min="12" max="12" width="13" style="36" customWidth="1"/>
    <col min="13" max="14" width="13" customWidth="1"/>
  </cols>
  <sheetData>
    <row r="2" spans="1:31" ht="39" customHeight="1" x14ac:dyDescent="0.6">
      <c r="A2"/>
      <c r="B2" s="74" t="s">
        <v>78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</row>
    <row r="3" spans="1:31" ht="18" customHeight="1" x14ac:dyDescent="0.25">
      <c r="A3"/>
      <c r="B3" s="10"/>
      <c r="C3" s="10"/>
      <c r="E3"/>
      <c r="F3"/>
      <c r="G3"/>
      <c r="H3"/>
      <c r="I3"/>
      <c r="J3"/>
      <c r="K3"/>
      <c r="L3"/>
    </row>
    <row r="4" spans="1:31" ht="18" customHeight="1" x14ac:dyDescent="0.3">
      <c r="A4"/>
      <c r="B4" s="76" t="s">
        <v>61</v>
      </c>
      <c r="C4" s="76"/>
      <c r="D4" s="76"/>
      <c r="E4"/>
      <c r="F4"/>
      <c r="G4"/>
      <c r="H4"/>
      <c r="I4"/>
      <c r="J4"/>
      <c r="K4"/>
      <c r="L4"/>
    </row>
    <row r="5" spans="1:31" ht="18" customHeight="1" x14ac:dyDescent="0.25">
      <c r="A5"/>
      <c r="B5" s="77"/>
      <c r="C5" s="78" t="s">
        <v>40</v>
      </c>
      <c r="D5" s="78"/>
      <c r="E5"/>
      <c r="F5"/>
      <c r="G5"/>
      <c r="H5"/>
      <c r="I5"/>
      <c r="J5"/>
      <c r="K5"/>
      <c r="L5"/>
    </row>
    <row r="6" spans="1:31" ht="18" customHeight="1" x14ac:dyDescent="0.25">
      <c r="A6"/>
      <c r="B6" s="79" t="s">
        <v>62</v>
      </c>
      <c r="C6" s="80" t="s">
        <v>48</v>
      </c>
      <c r="D6" s="81"/>
      <c r="E6"/>
      <c r="F6"/>
      <c r="G6"/>
      <c r="H6"/>
      <c r="I6"/>
      <c r="J6"/>
      <c r="K6"/>
      <c r="L6"/>
    </row>
    <row r="7" spans="1:31" ht="18" customHeight="1" x14ac:dyDescent="0.25">
      <c r="A7"/>
      <c r="B7" s="71" t="s">
        <v>63</v>
      </c>
      <c r="C7" s="72" t="s">
        <v>49</v>
      </c>
      <c r="D7" s="82"/>
      <c r="E7"/>
      <c r="F7"/>
      <c r="G7"/>
      <c r="H7"/>
      <c r="I7"/>
      <c r="J7"/>
      <c r="K7"/>
      <c r="L7"/>
    </row>
    <row r="8" spans="1:31" ht="18" customHeight="1" x14ac:dyDescent="0.25">
      <c r="A8"/>
      <c r="B8" s="83" t="s">
        <v>64</v>
      </c>
      <c r="C8" s="72" t="s">
        <v>50</v>
      </c>
      <c r="D8" s="82"/>
      <c r="E8"/>
      <c r="F8"/>
      <c r="G8"/>
      <c r="H8"/>
      <c r="I8"/>
      <c r="J8"/>
      <c r="K8"/>
      <c r="L8"/>
    </row>
    <row r="9" spans="1:31" ht="18" customHeight="1" x14ac:dyDescent="0.25">
      <c r="A9"/>
      <c r="B9" s="83" t="s">
        <v>65</v>
      </c>
      <c r="C9" s="43" t="s">
        <v>51</v>
      </c>
      <c r="D9" s="82"/>
      <c r="E9"/>
      <c r="F9"/>
      <c r="G9"/>
      <c r="H9"/>
      <c r="I9"/>
      <c r="J9"/>
      <c r="K9"/>
      <c r="L9"/>
    </row>
    <row r="10" spans="1:31" ht="18" customHeight="1" x14ac:dyDescent="0.25">
      <c r="A10"/>
      <c r="B10" s="83" t="s">
        <v>66</v>
      </c>
      <c r="C10" s="80" t="s">
        <v>52</v>
      </c>
      <c r="D10" s="82"/>
      <c r="E10"/>
      <c r="F10"/>
      <c r="G10"/>
      <c r="H10"/>
      <c r="I10"/>
      <c r="J10"/>
      <c r="K10"/>
      <c r="L10"/>
    </row>
    <row r="11" spans="1:31" ht="18" customHeight="1" x14ac:dyDescent="0.25">
      <c r="A11"/>
      <c r="B11" s="83" t="s">
        <v>67</v>
      </c>
      <c r="C11" s="72" t="s">
        <v>59</v>
      </c>
      <c r="D11" s="82"/>
      <c r="E11"/>
      <c r="F11"/>
      <c r="G11"/>
      <c r="H11"/>
      <c r="I11"/>
      <c r="J11"/>
      <c r="K11"/>
      <c r="L11"/>
    </row>
    <row r="12" spans="1:31" ht="18" customHeight="1" x14ac:dyDescent="0.25">
      <c r="A12"/>
      <c r="B12" s="84" t="s">
        <v>68</v>
      </c>
      <c r="C12" s="85" t="s">
        <v>60</v>
      </c>
      <c r="D12" s="86"/>
      <c r="E12"/>
      <c r="F12"/>
      <c r="G12"/>
      <c r="H12"/>
      <c r="I12"/>
      <c r="J12"/>
      <c r="K12"/>
      <c r="L12"/>
    </row>
    <row r="13" spans="1:31" ht="18" customHeight="1" x14ac:dyDescent="0.25">
      <c r="A13"/>
      <c r="B13" s="10"/>
      <c r="C13" s="10"/>
      <c r="E13"/>
      <c r="F13"/>
      <c r="G13"/>
      <c r="H13"/>
      <c r="I13"/>
      <c r="J13"/>
      <c r="K13"/>
      <c r="L13"/>
    </row>
    <row r="14" spans="1:31" ht="18" customHeight="1" x14ac:dyDescent="0.3">
      <c r="A14" s="35"/>
      <c r="B14" s="140" t="s">
        <v>79</v>
      </c>
      <c r="C14" s="140"/>
      <c r="D14" s="140"/>
      <c r="E14" s="140"/>
      <c r="F14" s="140"/>
      <c r="G14" s="140"/>
      <c r="H14" s="140"/>
      <c r="I14" s="140"/>
      <c r="J14" s="140"/>
      <c r="K14" s="140"/>
      <c r="L14" s="140"/>
      <c r="M14" s="140"/>
      <c r="N14" s="5"/>
      <c r="Y14" s="5"/>
      <c r="Z14" s="5"/>
      <c r="AA14" s="5"/>
      <c r="AB14" s="5"/>
      <c r="AC14" s="5"/>
      <c r="AD14" s="5"/>
      <c r="AE14" s="5"/>
    </row>
    <row r="15" spans="1:31" s="5" customFormat="1" ht="18" customHeight="1" x14ac:dyDescent="0.25">
      <c r="A15" s="37"/>
      <c r="B15" s="102"/>
      <c r="C15" s="103" t="s">
        <v>18</v>
      </c>
      <c r="D15" s="87" t="s">
        <v>87</v>
      </c>
      <c r="E15" s="102" t="s">
        <v>62</v>
      </c>
      <c r="F15" s="102" t="s">
        <v>63</v>
      </c>
      <c r="G15" s="102" t="s">
        <v>64</v>
      </c>
      <c r="H15" s="102" t="s">
        <v>65</v>
      </c>
      <c r="I15" s="102" t="s">
        <v>66</v>
      </c>
      <c r="J15" s="102" t="s">
        <v>67</v>
      </c>
      <c r="K15" s="102" t="s">
        <v>68</v>
      </c>
      <c r="L15" s="103" t="s">
        <v>69</v>
      </c>
      <c r="M15" s="77" t="s">
        <v>86</v>
      </c>
      <c r="O15"/>
      <c r="P15"/>
      <c r="Q15"/>
      <c r="R15"/>
      <c r="S15"/>
      <c r="T15"/>
      <c r="U15"/>
      <c r="V15"/>
      <c r="W15"/>
      <c r="X15"/>
    </row>
    <row r="16" spans="1:31" s="5" customFormat="1" ht="18" customHeight="1" x14ac:dyDescent="0.25">
      <c r="A16" s="37"/>
      <c r="B16" s="81"/>
      <c r="C16" s="80" t="s">
        <v>6</v>
      </c>
      <c r="D16" s="111">
        <f>+ROUND('ALLT ATVHUSN'!AF4,-2)</f>
        <v>4871900</v>
      </c>
      <c r="E16" s="111">
        <f>+'samantekt skapalóna'!D26</f>
        <v>929000</v>
      </c>
      <c r="F16" s="104">
        <f>+'samantekt skapalóna'!D27</f>
        <v>315000</v>
      </c>
      <c r="G16" s="104">
        <f>+'samantekt skapalóna'!D28</f>
        <v>614000</v>
      </c>
      <c r="H16" s="111">
        <f>+'samantekt skapalóna'!D29</f>
        <v>361000</v>
      </c>
      <c r="I16" s="111">
        <f>+'samantekt skapalóna'!D30</f>
        <v>1754000</v>
      </c>
      <c r="J16" s="104">
        <f>+'samantekt skapalóna'!D31</f>
        <v>1030000</v>
      </c>
      <c r="K16" s="104">
        <f>+'samantekt skapalóna'!D32</f>
        <v>724000</v>
      </c>
      <c r="L16" s="111">
        <f>+'samantekt skapalóna'!D33</f>
        <v>3044000</v>
      </c>
      <c r="M16" s="125">
        <f>+L16/D16</f>
        <v>0.62480756994191178</v>
      </c>
      <c r="O16"/>
      <c r="P16"/>
      <c r="Q16"/>
      <c r="R16"/>
      <c r="S16"/>
      <c r="T16"/>
      <c r="U16"/>
      <c r="V16"/>
      <c r="W16"/>
      <c r="X16"/>
    </row>
    <row r="17" spans="1:25" s="100" customFormat="1" ht="18" customHeight="1" x14ac:dyDescent="0.25">
      <c r="A17" s="97"/>
      <c r="B17" s="98"/>
      <c r="C17" s="99" t="s">
        <v>11</v>
      </c>
      <c r="D17" s="111">
        <f>+ROUND('ALLT ATVHUSN'!AF5,-2)</f>
        <v>893000</v>
      </c>
      <c r="E17" s="112">
        <f>+'samantekt skapalóna'!E26</f>
        <v>69000</v>
      </c>
      <c r="F17" s="88">
        <f>+'samantekt skapalóna'!E27</f>
        <v>23000</v>
      </c>
      <c r="G17" s="88">
        <f>+'samantekt skapalóna'!E28</f>
        <v>46000</v>
      </c>
      <c r="H17" s="112">
        <f>+'samantekt skapalóna'!E29</f>
        <v>112000</v>
      </c>
      <c r="I17" s="112">
        <f>+'samantekt skapalóna'!E30</f>
        <v>92000</v>
      </c>
      <c r="J17" s="88">
        <f>+'samantekt skapalóna'!E31</f>
        <v>69000</v>
      </c>
      <c r="K17" s="88">
        <f>+'samantekt skapalóna'!E32</f>
        <v>23000</v>
      </c>
      <c r="L17" s="112">
        <f>+'samantekt skapalóna'!E33</f>
        <v>273000</v>
      </c>
      <c r="M17" s="125">
        <f t="shared" ref="M17:M23" si="0">+L17/D17</f>
        <v>0.3057110862262038</v>
      </c>
      <c r="O17"/>
      <c r="P17"/>
      <c r="Q17"/>
      <c r="R17"/>
      <c r="S17"/>
      <c r="T17"/>
      <c r="U17"/>
      <c r="V17"/>
      <c r="W17"/>
      <c r="X17"/>
    </row>
    <row r="18" spans="1:25" s="5" customFormat="1" ht="18" customHeight="1" x14ac:dyDescent="0.25">
      <c r="A18" s="37"/>
      <c r="B18" s="82"/>
      <c r="C18" s="43" t="s">
        <v>17</v>
      </c>
      <c r="D18" s="111">
        <f>+ROUND('ALLT ATVHUSN'!AF6,-2)</f>
        <v>41000</v>
      </c>
      <c r="E18" s="112">
        <f>+'samantekt skapalóna'!F26</f>
        <v>0</v>
      </c>
      <c r="F18" s="88">
        <f>+'samantekt skapalóna'!F27</f>
        <v>0</v>
      </c>
      <c r="G18" s="88">
        <f>+'samantekt skapalóna'!F28</f>
        <v>0</v>
      </c>
      <c r="H18" s="112">
        <f>+'samantekt skapalóna'!F29</f>
        <v>0</v>
      </c>
      <c r="I18" s="112">
        <f>+'samantekt skapalóna'!F30</f>
        <v>0</v>
      </c>
      <c r="J18" s="88">
        <f>+'samantekt skapalóna'!F31</f>
        <v>0</v>
      </c>
      <c r="K18" s="88">
        <f>+'samantekt skapalóna'!F32</f>
        <v>0</v>
      </c>
      <c r="L18" s="112">
        <f>+'samantekt skapalóna'!F33</f>
        <v>0</v>
      </c>
      <c r="M18" s="125">
        <f t="shared" si="0"/>
        <v>0</v>
      </c>
      <c r="O18"/>
      <c r="P18"/>
      <c r="Q18"/>
      <c r="R18"/>
      <c r="S18"/>
      <c r="T18"/>
      <c r="U18"/>
      <c r="V18"/>
      <c r="W18"/>
      <c r="X18"/>
    </row>
    <row r="19" spans="1:25" s="5" customFormat="1" ht="18" customHeight="1" x14ac:dyDescent="0.25">
      <c r="A19" s="37"/>
      <c r="B19" s="82"/>
      <c r="C19" s="43" t="s">
        <v>13</v>
      </c>
      <c r="D19" s="111">
        <f>+ROUND('ALLT ATVHUSN'!AF7,-2)</f>
        <v>330800</v>
      </c>
      <c r="E19" s="112">
        <f>+'samantekt skapalóna'!G26</f>
        <v>35000</v>
      </c>
      <c r="F19" s="88">
        <f>+'samantekt skapalóna'!G27</f>
        <v>25000</v>
      </c>
      <c r="G19" s="88">
        <f>+'samantekt skapalóna'!G28</f>
        <v>11000</v>
      </c>
      <c r="H19" s="112">
        <f>+'samantekt skapalóna'!G29</f>
        <v>105000</v>
      </c>
      <c r="I19" s="112">
        <f>+'samantekt skapalóna'!G30</f>
        <v>192000</v>
      </c>
      <c r="J19" s="88">
        <f>+'samantekt skapalóna'!G31</f>
        <v>107000</v>
      </c>
      <c r="K19" s="88">
        <f>+'samantekt skapalóna'!G32</f>
        <v>85000</v>
      </c>
      <c r="L19" s="112">
        <f>+'samantekt skapalóna'!G33</f>
        <v>332000</v>
      </c>
      <c r="M19" s="125">
        <f t="shared" si="0"/>
        <v>1.003627569528416</v>
      </c>
      <c r="O19"/>
      <c r="P19"/>
      <c r="Q19"/>
      <c r="R19"/>
      <c r="S19"/>
      <c r="T19"/>
      <c r="U19"/>
      <c r="V19"/>
      <c r="W19"/>
      <c r="X19"/>
    </row>
    <row r="20" spans="1:25" s="5" customFormat="1" ht="18" customHeight="1" x14ac:dyDescent="0.25">
      <c r="A20" s="37"/>
      <c r="B20" s="82"/>
      <c r="C20" s="43" t="s">
        <v>14</v>
      </c>
      <c r="D20" s="111">
        <f>+ROUND('ALLT ATVHUSN'!AF8,-2)</f>
        <v>996800</v>
      </c>
      <c r="E20" s="112">
        <f>+'samantekt skapalóna'!H26</f>
        <v>682000</v>
      </c>
      <c r="F20" s="88">
        <f>+'samantekt skapalóna'!H27</f>
        <v>658000</v>
      </c>
      <c r="G20" s="88">
        <f>+'samantekt skapalóna'!H28</f>
        <v>24000</v>
      </c>
      <c r="H20" s="112">
        <f>+'samantekt skapalóna'!H29</f>
        <v>0</v>
      </c>
      <c r="I20" s="112">
        <f>+'samantekt skapalóna'!H30</f>
        <v>3000</v>
      </c>
      <c r="J20" s="88">
        <f>+'samantekt skapalóna'!H31</f>
        <v>3000</v>
      </c>
      <c r="K20" s="88">
        <f>+'samantekt skapalóna'!H32</f>
        <v>0</v>
      </c>
      <c r="L20" s="112">
        <f>+'samantekt skapalóna'!H33</f>
        <v>685000</v>
      </c>
      <c r="M20" s="125">
        <f t="shared" si="0"/>
        <v>0.687199036918138</v>
      </c>
      <c r="O20"/>
      <c r="P20"/>
      <c r="Q20"/>
      <c r="R20"/>
      <c r="S20"/>
      <c r="T20"/>
      <c r="U20"/>
      <c r="V20"/>
      <c r="W20"/>
      <c r="X20"/>
    </row>
    <row r="21" spans="1:25" s="5" customFormat="1" ht="18" customHeight="1" x14ac:dyDescent="0.25">
      <c r="A21" s="37"/>
      <c r="B21" s="82"/>
      <c r="C21" s="43" t="s">
        <v>15</v>
      </c>
      <c r="D21" s="111">
        <f>+ROUND('ALLT ATVHUSN'!AF9,-2)</f>
        <v>249400</v>
      </c>
      <c r="E21" s="112">
        <f>+'samantekt skapalóna'!I26</f>
        <v>80000</v>
      </c>
      <c r="F21" s="88">
        <f>+'samantekt skapalóna'!I27</f>
        <v>80000</v>
      </c>
      <c r="G21" s="88">
        <f>+'samantekt skapalóna'!I28</f>
        <v>0</v>
      </c>
      <c r="H21" s="112">
        <f>+'samantekt skapalóna'!I29</f>
        <v>90000</v>
      </c>
      <c r="I21" s="112">
        <f>+'samantekt skapalóna'!I30</f>
        <v>74000</v>
      </c>
      <c r="J21" s="88">
        <f>+'samantekt skapalóna'!I31</f>
        <v>0</v>
      </c>
      <c r="K21" s="88">
        <f>+'samantekt skapalóna'!I32</f>
        <v>74000</v>
      </c>
      <c r="L21" s="112">
        <f>+'samantekt skapalóna'!I33</f>
        <v>244000</v>
      </c>
      <c r="M21" s="125">
        <f t="shared" si="0"/>
        <v>0.97834803528468328</v>
      </c>
    </row>
    <row r="22" spans="1:25" s="5" customFormat="1" ht="18" customHeight="1" x14ac:dyDescent="0.25">
      <c r="A22" s="37"/>
      <c r="B22" s="89"/>
      <c r="C22" s="90" t="s">
        <v>16</v>
      </c>
      <c r="D22" s="113">
        <f>+ROUND('ALLT ATVHUSN'!AF10,-2)</f>
        <v>6000</v>
      </c>
      <c r="E22" s="113">
        <f>+'samantekt skapalóna'!J26</f>
        <v>0</v>
      </c>
      <c r="F22" s="105">
        <f>+'samantekt skapalóna'!J27</f>
        <v>0</v>
      </c>
      <c r="G22" s="105">
        <f>+'samantekt skapalóna'!J28</f>
        <v>0</v>
      </c>
      <c r="H22" s="113">
        <f>+'samantekt skapalóna'!J29</f>
        <v>0</v>
      </c>
      <c r="I22" s="113">
        <f>+'samantekt skapalóna'!J30</f>
        <v>0</v>
      </c>
      <c r="J22" s="105">
        <f>+'samantekt skapalóna'!J31</f>
        <v>0</v>
      </c>
      <c r="K22" s="105">
        <f>+'samantekt skapalóna'!J32</f>
        <v>0</v>
      </c>
      <c r="L22" s="113">
        <f>+'samantekt skapalóna'!J33</f>
        <v>0</v>
      </c>
      <c r="M22" s="126">
        <f t="shared" si="0"/>
        <v>0</v>
      </c>
    </row>
    <row r="23" spans="1:25" s="5" customFormat="1" ht="18" customHeight="1" x14ac:dyDescent="0.25">
      <c r="A23" s="37"/>
      <c r="C23" s="91" t="s">
        <v>53</v>
      </c>
      <c r="D23" s="114">
        <f>+ROUND('ALLT ATVHUSN'!AF11,-2)</f>
        <v>7388900</v>
      </c>
      <c r="E23" s="114">
        <f>+'samantekt skapalóna'!K26</f>
        <v>1796000</v>
      </c>
      <c r="F23" s="115">
        <f>+'samantekt skapalóna'!K27</f>
        <v>1101000</v>
      </c>
      <c r="G23" s="115">
        <f>+'samantekt skapalóna'!K28</f>
        <v>695000</v>
      </c>
      <c r="H23" s="114">
        <f>+'samantekt skapalóna'!K29</f>
        <v>668000</v>
      </c>
      <c r="I23" s="114">
        <f>+'samantekt skapalóna'!K30</f>
        <v>2115000</v>
      </c>
      <c r="J23" s="115">
        <f>+'samantekt skapalóna'!K31</f>
        <v>1209000</v>
      </c>
      <c r="K23" s="115">
        <f>+'samantekt skapalóna'!K32</f>
        <v>906000</v>
      </c>
      <c r="L23" s="114">
        <f>+'samantekt skapalóna'!K33</f>
        <v>4579000</v>
      </c>
      <c r="M23" s="127">
        <f t="shared" si="0"/>
        <v>0.61971335381450554</v>
      </c>
    </row>
    <row r="24" spans="1:25" ht="18" customHeight="1" x14ac:dyDescent="0.25">
      <c r="A24"/>
      <c r="B24" s="10"/>
      <c r="C24" s="10"/>
      <c r="D24" s="101"/>
      <c r="E24" s="101"/>
      <c r="F24" s="101"/>
      <c r="G24" s="101"/>
      <c r="H24" s="101"/>
      <c r="I24" s="101"/>
      <c r="J24" s="101"/>
      <c r="K24" s="101"/>
      <c r="L24"/>
    </row>
    <row r="25" spans="1:25" ht="18" customHeight="1" x14ac:dyDescent="0.3">
      <c r="B25" s="140" t="s">
        <v>70</v>
      </c>
      <c r="C25" s="140"/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</row>
    <row r="26" spans="1:25" ht="18" customHeight="1" x14ac:dyDescent="0.25">
      <c r="B26" s="77"/>
      <c r="C26" s="87"/>
      <c r="D26" s="138" t="s">
        <v>71</v>
      </c>
      <c r="E26" s="138"/>
      <c r="F26" s="138"/>
      <c r="G26" s="138"/>
      <c r="H26" s="138"/>
      <c r="I26" s="138"/>
      <c r="J26" s="92" t="s">
        <v>72</v>
      </c>
      <c r="K26" s="138" t="s">
        <v>73</v>
      </c>
      <c r="L26" s="138"/>
      <c r="M26" s="138"/>
      <c r="N26" s="138"/>
    </row>
    <row r="27" spans="1:25" ht="18" customHeight="1" x14ac:dyDescent="0.25">
      <c r="B27" s="77"/>
      <c r="C27" s="87" t="s">
        <v>18</v>
      </c>
      <c r="D27" s="128" t="s">
        <v>74</v>
      </c>
      <c r="E27" s="93">
        <v>2021</v>
      </c>
      <c r="F27" s="93">
        <v>2022</v>
      </c>
      <c r="G27" s="93">
        <v>2023</v>
      </c>
      <c r="H27" s="93">
        <v>2024</v>
      </c>
      <c r="I27" s="94" t="s">
        <v>21</v>
      </c>
      <c r="J27" s="95" t="s">
        <v>75</v>
      </c>
      <c r="K27" s="95" t="s">
        <v>88</v>
      </c>
      <c r="L27" s="133" t="s">
        <v>85</v>
      </c>
      <c r="M27" s="96" t="s">
        <v>76</v>
      </c>
      <c r="N27" s="133"/>
    </row>
    <row r="28" spans="1:25" ht="18" customHeight="1" x14ac:dyDescent="0.25">
      <c r="B28" s="81"/>
      <c r="C28" s="43" t="s">
        <v>6</v>
      </c>
      <c r="D28" s="129">
        <f>+'samantekt skapalóna'!D36</f>
        <v>25400</v>
      </c>
      <c r="E28" s="116">
        <f>+'samantekt skapalóna'!D37</f>
        <v>50800</v>
      </c>
      <c r="F28" s="116">
        <f>+'samantekt skapalóna'!D38</f>
        <v>38000</v>
      </c>
      <c r="G28" s="116">
        <f>+'samantekt skapalóna'!D39</f>
        <v>71000</v>
      </c>
      <c r="H28" s="116">
        <f>+'samantekt skapalóna'!D40</f>
        <v>99400</v>
      </c>
      <c r="I28" s="117">
        <f>+SUM(E28:H28)</f>
        <v>259200</v>
      </c>
      <c r="J28" s="116">
        <f>+AVERAGE(E28:H28)</f>
        <v>64800</v>
      </c>
      <c r="K28" s="116">
        <f>+ROUNDUP('ALLT ATVHUSN'!F37,-2)</f>
        <v>63000</v>
      </c>
      <c r="L28" s="134">
        <f>+$J28/K28</f>
        <v>1.0285714285714285</v>
      </c>
      <c r="M28" s="116">
        <f>+ROUNDUP('ALLT ATVHUSN'!G37,-2)</f>
        <v>56900</v>
      </c>
      <c r="N28" s="134">
        <f>+$J28/M28</f>
        <v>1.1388400702987698</v>
      </c>
    </row>
    <row r="29" spans="1:25" s="106" customFormat="1" ht="18" customHeight="1" x14ac:dyDescent="0.25">
      <c r="A29" s="97"/>
      <c r="B29" s="98"/>
      <c r="C29" s="99" t="s">
        <v>11</v>
      </c>
      <c r="D29" s="130">
        <f>+'samantekt skapalóna'!E36</f>
        <v>3000</v>
      </c>
      <c r="E29" s="118">
        <f>+'samantekt skapalóna'!E37</f>
        <v>7000</v>
      </c>
      <c r="F29" s="118">
        <f>+'samantekt skapalóna'!E38</f>
        <v>2500</v>
      </c>
      <c r="G29" s="118">
        <f>+'samantekt skapalóna'!E39</f>
        <v>4900</v>
      </c>
      <c r="H29" s="118">
        <f>+'samantekt skapalóna'!E40</f>
        <v>4900</v>
      </c>
      <c r="I29" s="117">
        <f t="shared" ref="I29:I34" si="1">+SUM(E29:H29)</f>
        <v>19300</v>
      </c>
      <c r="J29" s="118">
        <f t="shared" ref="J29:J34" si="2">+AVERAGE(E29:H29)</f>
        <v>4825</v>
      </c>
      <c r="K29" s="118">
        <f>+ROUNDUP('ALLT ATVHUSN'!F38,-2)</f>
        <v>23300</v>
      </c>
      <c r="L29" s="135">
        <f t="shared" ref="L29:L35" si="3">+$J29/K29</f>
        <v>0.20708154506437768</v>
      </c>
      <c r="M29" s="118">
        <f>+ROUNDUP('ALLT ATVHUSN'!G38,-2)</f>
        <v>5200</v>
      </c>
      <c r="N29" s="135">
        <f t="shared" ref="N29:N34" si="4">+$J29/M29</f>
        <v>0.92788461538461542</v>
      </c>
      <c r="O29"/>
      <c r="P29"/>
      <c r="Q29"/>
      <c r="R29"/>
      <c r="S29"/>
      <c r="T29"/>
      <c r="U29"/>
      <c r="V29"/>
      <c r="W29"/>
      <c r="X29"/>
      <c r="Y29"/>
    </row>
    <row r="30" spans="1:25" ht="18" customHeight="1" x14ac:dyDescent="0.25">
      <c r="B30" s="82"/>
      <c r="C30" s="43" t="s">
        <v>17</v>
      </c>
      <c r="D30" s="130">
        <f>+'samantekt skapalóna'!F36</f>
        <v>0</v>
      </c>
      <c r="E30" s="116">
        <f>+'samantekt skapalóna'!F37</f>
        <v>0</v>
      </c>
      <c r="F30" s="116">
        <f>+'samantekt skapalóna'!F38</f>
        <v>0</v>
      </c>
      <c r="G30" s="116">
        <f>+'samantekt skapalóna'!F39</f>
        <v>0</v>
      </c>
      <c r="H30" s="116">
        <f>+'samantekt skapalóna'!F40</f>
        <v>0</v>
      </c>
      <c r="I30" s="117">
        <f t="shared" si="1"/>
        <v>0</v>
      </c>
      <c r="J30" s="116">
        <f t="shared" si="2"/>
        <v>0</v>
      </c>
      <c r="K30" s="116">
        <f>+ROUNDUP('ALLT ATVHUSN'!F39,-2)</f>
        <v>700</v>
      </c>
      <c r="L30" s="134">
        <f t="shared" si="3"/>
        <v>0</v>
      </c>
      <c r="M30" s="116">
        <f>+ROUNDUP('ALLT ATVHUSN'!G39,-2)</f>
        <v>400</v>
      </c>
      <c r="N30" s="134">
        <f t="shared" si="4"/>
        <v>0</v>
      </c>
    </row>
    <row r="31" spans="1:25" ht="18" customHeight="1" x14ac:dyDescent="0.25">
      <c r="B31" s="82"/>
      <c r="C31" s="43" t="s">
        <v>13</v>
      </c>
      <c r="D31" s="130">
        <f>+'samantekt skapalóna'!G36</f>
        <v>0</v>
      </c>
      <c r="E31" s="116">
        <f>+'samantekt skapalóna'!G37</f>
        <v>18200</v>
      </c>
      <c r="F31" s="116">
        <f>+'samantekt skapalóna'!G38</f>
        <v>3500</v>
      </c>
      <c r="G31" s="116">
        <f>+'samantekt skapalóna'!G39</f>
        <v>5100</v>
      </c>
      <c r="H31" s="116">
        <f>+'samantekt skapalóna'!G40</f>
        <v>4500</v>
      </c>
      <c r="I31" s="117">
        <f t="shared" si="1"/>
        <v>31300</v>
      </c>
      <c r="J31" s="116">
        <f t="shared" si="2"/>
        <v>7825</v>
      </c>
      <c r="K31" s="116">
        <f>+ROUNDUP('ALLT ATVHUSN'!F40,-2)</f>
        <v>9100</v>
      </c>
      <c r="L31" s="134">
        <f t="shared" si="3"/>
        <v>0.85989010989010994</v>
      </c>
      <c r="M31" s="116">
        <f>+ROUNDUP('ALLT ATVHUSN'!G40,-2)</f>
        <v>2800</v>
      </c>
      <c r="N31" s="134">
        <f t="shared" si="4"/>
        <v>2.7946428571428572</v>
      </c>
    </row>
    <row r="32" spans="1:25" ht="18" customHeight="1" x14ac:dyDescent="0.25">
      <c r="B32" s="82"/>
      <c r="C32" s="43" t="s">
        <v>14</v>
      </c>
      <c r="D32" s="130">
        <f>+'samantekt skapalóna'!H36</f>
        <v>4000</v>
      </c>
      <c r="E32" s="116">
        <f>+'samantekt skapalóna'!H37</f>
        <v>9500</v>
      </c>
      <c r="F32" s="116">
        <f>+'samantekt skapalóna'!H38</f>
        <v>15500</v>
      </c>
      <c r="G32" s="116">
        <f>+'samantekt skapalóna'!H39</f>
        <v>18500</v>
      </c>
      <c r="H32" s="116">
        <f>+'samantekt skapalóna'!H40</f>
        <v>18500</v>
      </c>
      <c r="I32" s="117">
        <f t="shared" si="1"/>
        <v>62000</v>
      </c>
      <c r="J32" s="116">
        <f t="shared" si="2"/>
        <v>15500</v>
      </c>
      <c r="K32" s="116">
        <f>+ROUNDUP('ALLT ATVHUSN'!F41,-2)</f>
        <v>24700</v>
      </c>
      <c r="L32" s="134">
        <f t="shared" si="3"/>
        <v>0.62753036437246967</v>
      </c>
      <c r="M32" s="116">
        <f>+ROUNDUP('ALLT ATVHUSN'!G41,-2)</f>
        <v>19100</v>
      </c>
      <c r="N32" s="134">
        <f t="shared" si="4"/>
        <v>0.81151832460732987</v>
      </c>
    </row>
    <row r="33" spans="2:14" ht="18" customHeight="1" x14ac:dyDescent="0.25">
      <c r="B33" s="82"/>
      <c r="C33" s="43" t="s">
        <v>15</v>
      </c>
      <c r="D33" s="130">
        <f>+'samantekt skapalóna'!I36</f>
        <v>1300</v>
      </c>
      <c r="E33" s="116">
        <f>+'samantekt skapalóna'!I37</f>
        <v>13100</v>
      </c>
      <c r="F33" s="116">
        <f>+'samantekt skapalóna'!I38</f>
        <v>12100</v>
      </c>
      <c r="G33" s="116">
        <f>+'samantekt skapalóna'!I39</f>
        <v>11000</v>
      </c>
      <c r="H33" s="116">
        <f>+'samantekt skapalóna'!I40</f>
        <v>16600</v>
      </c>
      <c r="I33" s="117">
        <f t="shared" si="1"/>
        <v>52800</v>
      </c>
      <c r="J33" s="116">
        <f t="shared" si="2"/>
        <v>13200</v>
      </c>
      <c r="K33" s="116">
        <f>+ROUNDUP('ALLT ATVHUSN'!F42,-2)</f>
        <v>6900</v>
      </c>
      <c r="L33" s="134">
        <f t="shared" si="3"/>
        <v>1.9130434782608696</v>
      </c>
      <c r="M33" s="116">
        <f>+ROUNDUP('ALLT ATVHUSN'!G42,-2)</f>
        <v>9800</v>
      </c>
      <c r="N33" s="134">
        <f t="shared" si="4"/>
        <v>1.346938775510204</v>
      </c>
    </row>
    <row r="34" spans="2:14" ht="18" customHeight="1" x14ac:dyDescent="0.25">
      <c r="B34" s="89"/>
      <c r="C34" s="90" t="s">
        <v>77</v>
      </c>
      <c r="D34" s="131">
        <f>+'samantekt skapalóna'!J36</f>
        <v>0</v>
      </c>
      <c r="E34" s="119">
        <f>+'samantekt skapalóna'!J37</f>
        <v>0</v>
      </c>
      <c r="F34" s="119">
        <f>+'samantekt skapalóna'!J38</f>
        <v>0</v>
      </c>
      <c r="G34" s="119">
        <f>+'samantekt skapalóna'!J39</f>
        <v>0</v>
      </c>
      <c r="H34" s="119">
        <f>+'samantekt skapalóna'!J40</f>
        <v>0</v>
      </c>
      <c r="I34" s="120">
        <f t="shared" si="1"/>
        <v>0</v>
      </c>
      <c r="J34" s="119">
        <f t="shared" si="2"/>
        <v>0</v>
      </c>
      <c r="K34" s="119">
        <f>+ROUNDUP('ALLT ATVHUSN'!F43,-1)</f>
        <v>20</v>
      </c>
      <c r="L34" s="136">
        <f t="shared" si="3"/>
        <v>0</v>
      </c>
      <c r="M34" s="119">
        <f>+ROUNDUP('ALLT ATVHUSN'!G43,-1)</f>
        <v>200</v>
      </c>
      <c r="N34" s="136">
        <f t="shared" si="4"/>
        <v>0</v>
      </c>
    </row>
    <row r="35" spans="2:14" ht="18" customHeight="1" x14ac:dyDescent="0.25">
      <c r="C35" s="63" t="s">
        <v>21</v>
      </c>
      <c r="D35" s="132">
        <f>SUM(D28:D34)</f>
        <v>33700</v>
      </c>
      <c r="E35" s="121">
        <f>SUM(E28:E34)</f>
        <v>98600</v>
      </c>
      <c r="F35" s="121">
        <f>SUM(F28:F34)</f>
        <v>71600</v>
      </c>
      <c r="G35" s="121">
        <f>SUM(G28:G34)</f>
        <v>110500</v>
      </c>
      <c r="H35" s="121">
        <f>SUM(H28:H34)</f>
        <v>143900</v>
      </c>
      <c r="I35" s="124">
        <f>+SUM(I28:I34)</f>
        <v>424600</v>
      </c>
      <c r="J35" s="122">
        <f>SUM(J28:J34)</f>
        <v>106150</v>
      </c>
      <c r="K35" s="123">
        <f>+ROUNDUP('ALLT ATVHUSN'!F44,-2)</f>
        <v>127500</v>
      </c>
      <c r="L35" s="137">
        <f t="shared" si="3"/>
        <v>0.83254901960784311</v>
      </c>
      <c r="M35" s="123">
        <f>+ROUNDUP('ALLT ATVHUSN'!G44,-2)</f>
        <v>94100</v>
      </c>
      <c r="N35" s="137">
        <f>+$J35/M35</f>
        <v>1.1280552603613176</v>
      </c>
    </row>
    <row r="36" spans="2:14" ht="18" customHeight="1" x14ac:dyDescent="0.25">
      <c r="K36" s="139" t="s">
        <v>84</v>
      </c>
      <c r="L36" s="139"/>
    </row>
    <row r="37" spans="2:14" ht="18" customHeight="1" x14ac:dyDescent="0.25">
      <c r="C37" s="5"/>
      <c r="K37" s="139"/>
      <c r="L37" s="139"/>
    </row>
    <row r="38" spans="2:14" ht="18" customHeight="1" x14ac:dyDescent="0.25">
      <c r="C38" s="5"/>
    </row>
    <row r="39" spans="2:14" ht="18" customHeight="1" x14ac:dyDescent="0.25">
      <c r="C39" s="5"/>
    </row>
    <row r="40" spans="2:14" ht="18" customHeight="1" x14ac:dyDescent="0.25">
      <c r="C40" s="5"/>
    </row>
    <row r="41" spans="2:14" ht="18" customHeight="1" x14ac:dyDescent="0.25">
      <c r="C41" s="5"/>
    </row>
    <row r="42" spans="2:14" ht="18" customHeight="1" x14ac:dyDescent="0.25">
      <c r="C42" s="5"/>
    </row>
  </sheetData>
  <mergeCells count="5">
    <mergeCell ref="D26:I26"/>
    <mergeCell ref="K36:L37"/>
    <mergeCell ref="K26:N26"/>
    <mergeCell ref="B14:M14"/>
    <mergeCell ref="B25:N25"/>
  </mergeCells>
  <conditionalFormatting sqref="E35:H35 J35:K35 M35">
    <cfRule type="colorScale" priority="12">
      <colorScale>
        <cfvo type="min"/>
        <cfvo type="max"/>
        <color rgb="FFFFEF9C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I35 M28:M34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6B321-7CD8-4310-9322-7B38E202A4EF}">
  <dimension ref="B2:AG78"/>
  <sheetViews>
    <sheetView showGridLines="0" workbookViewId="0">
      <pane xSplit="5" ySplit="1" topLeftCell="F44" activePane="bottomRight" state="frozen"/>
      <selection pane="topRight" activeCell="E1" sqref="E1"/>
      <selection pane="bottomLeft" activeCell="A5" sqref="A5"/>
      <selection pane="bottomRight" activeCell="E76" sqref="E76"/>
    </sheetView>
  </sheetViews>
  <sheetFormatPr defaultRowHeight="15" x14ac:dyDescent="0.25"/>
  <cols>
    <col min="1" max="1" width="4.7109375" customWidth="1"/>
    <col min="2" max="2" width="9.140625" style="10"/>
    <col min="3" max="3" width="15.140625" style="10" bestFit="1" customWidth="1"/>
    <col min="4" max="4" width="9.140625" style="5"/>
    <col min="5" max="5" width="16.5703125" bestFit="1" customWidth="1"/>
    <col min="8" max="11" width="9.140625" bestFit="1" customWidth="1"/>
    <col min="12" max="12" width="9.140625" customWidth="1"/>
    <col min="13" max="16" width="8.85546875" bestFit="1" customWidth="1"/>
  </cols>
  <sheetData>
    <row r="2" spans="2:33" s="15" customFormat="1" x14ac:dyDescent="0.25">
      <c r="B2" s="13" t="s">
        <v>30</v>
      </c>
      <c r="C2" s="13"/>
      <c r="D2" s="1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3" x14ac:dyDescent="0.25">
      <c r="B3" s="7" t="s">
        <v>2</v>
      </c>
      <c r="C3" s="7" t="s">
        <v>18</v>
      </c>
      <c r="D3" s="7" t="s">
        <v>3</v>
      </c>
      <c r="E3" s="9" t="s">
        <v>4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9">
        <v>2003</v>
      </c>
      <c r="P3" s="9">
        <v>2004</v>
      </c>
      <c r="Q3" s="9">
        <v>2005</v>
      </c>
      <c r="R3" s="9">
        <v>2006</v>
      </c>
      <c r="S3" s="9">
        <v>2007</v>
      </c>
      <c r="T3" s="9">
        <v>2008</v>
      </c>
      <c r="U3" s="9">
        <v>2009</v>
      </c>
      <c r="V3" s="9">
        <v>2010</v>
      </c>
      <c r="W3" s="9">
        <v>2011</v>
      </c>
      <c r="X3" s="9">
        <v>2012</v>
      </c>
      <c r="Y3" s="9">
        <v>2013</v>
      </c>
      <c r="Z3" s="9">
        <v>2014</v>
      </c>
      <c r="AA3" s="9">
        <v>2015</v>
      </c>
      <c r="AB3" s="9">
        <v>2016</v>
      </c>
      <c r="AC3" s="9">
        <v>2017</v>
      </c>
      <c r="AD3" s="9">
        <v>2018</v>
      </c>
      <c r="AE3" s="9">
        <v>2019</v>
      </c>
      <c r="AF3" s="9">
        <v>2020</v>
      </c>
    </row>
    <row r="4" spans="2:33" x14ac:dyDescent="0.25">
      <c r="B4" s="6" t="s">
        <v>5</v>
      </c>
      <c r="C4" s="10" t="s">
        <v>6</v>
      </c>
      <c r="D4" s="12" t="s">
        <v>19</v>
      </c>
      <c r="E4" t="s">
        <v>20</v>
      </c>
      <c r="F4" s="1">
        <f>+SUMIF(grunnur!$C$5:$C$31,"Reykjavík",grunnur!F$5:F$31)</f>
        <v>3235322.4</v>
      </c>
      <c r="G4" s="1">
        <f>+SUMIF(grunnur!$C$5:$C$31,"Reykjavík",grunnur!G$5:G$31)</f>
        <v>3271472.6</v>
      </c>
      <c r="H4" s="1">
        <f>+SUMIF(grunnur!$C$5:$C$31,"Reykjavík",grunnur!H$5:H$31)</f>
        <v>3302618.5999999996</v>
      </c>
      <c r="I4" s="1">
        <f>+SUMIF(grunnur!$C$5:$C$31,"Reykjavík",grunnur!I$5:I$31)</f>
        <v>3332412.5</v>
      </c>
      <c r="J4" s="1">
        <f>+SUMIF(grunnur!$C$5:$C$31,"Reykjavík",grunnur!J$5:J$31)</f>
        <v>3413457.8000000003</v>
      </c>
      <c r="K4" s="1">
        <f>+SUMIF(grunnur!$C$5:$C$31,"Reykjavík",grunnur!K$5:K$31)</f>
        <v>3532927.8</v>
      </c>
      <c r="L4" s="1">
        <f>+SUMIF(grunnur!$C$5:$C$31,"Reykjavík",grunnur!L$5:L$31)</f>
        <v>3657478.6999999997</v>
      </c>
      <c r="M4" s="1">
        <f>+SUMIF(grunnur!$C$5:$C$31,"Reykjavík",grunnur!M$5:M$31)</f>
        <v>3662756.4</v>
      </c>
      <c r="N4" s="1">
        <f>+SUMIF(grunnur!$C$5:$C$31,"Reykjavík",grunnur!N$5:N$31)</f>
        <v>3826626.4000000004</v>
      </c>
      <c r="O4" s="1">
        <f>+SUMIF(grunnur!$C$5:$C$31,"Reykjavík",grunnur!O$5:O$31)</f>
        <v>3958088.8000000003</v>
      </c>
      <c r="P4" s="1">
        <f>+SUMIF(grunnur!$C$5:$C$31,"Reykjavík",grunnur!P$5:P$31)</f>
        <v>3979918.5</v>
      </c>
      <c r="Q4" s="1">
        <f>+SUMIF(grunnur!$C$5:$C$31,"Reykjavík",grunnur!Q$5:Q$31)</f>
        <v>3990060.1000000006</v>
      </c>
      <c r="R4" s="1">
        <f>+SUMIF(grunnur!$C$5:$C$31,"Reykjavík",grunnur!R$5:R$31)</f>
        <v>4102182.5</v>
      </c>
      <c r="S4" s="1">
        <f>+SUMIF(grunnur!$C$5:$C$31,"Reykjavík",grunnur!S$5:S$31)</f>
        <v>4222104.4000000004</v>
      </c>
      <c r="T4" s="1">
        <f>+SUMIF(grunnur!$C$5:$C$31,"Reykjavík",grunnur!T$5:T$31)</f>
        <v>4405230.8</v>
      </c>
      <c r="U4" s="1">
        <f>+SUMIF(grunnur!$C$5:$C$31,"Reykjavík",grunnur!U$5:U$31)</f>
        <v>4443414.2</v>
      </c>
      <c r="V4" s="1">
        <f>+SUMIF(grunnur!$C$5:$C$31,"Reykjavík",grunnur!V$5:V$31)</f>
        <v>4517288.4000000004</v>
      </c>
      <c r="W4" s="1">
        <f>+SUMIF(grunnur!$C$5:$C$31,"Reykjavík",grunnur!W$5:W$31)</f>
        <v>4522094.2</v>
      </c>
      <c r="X4" s="1">
        <f>+SUMIF(grunnur!$C$5:$C$31,"Reykjavík",grunnur!X$5:X$31)</f>
        <v>4539644.9000000004</v>
      </c>
      <c r="Y4" s="1">
        <f>+SUMIF(grunnur!$C$5:$C$31,"Reykjavík",grunnur!Y$5:Y$31)</f>
        <v>4539037.9000000004</v>
      </c>
      <c r="Z4" s="1">
        <f>+SUMIF(grunnur!$C$5:$C$31,"Reykjavík",grunnur!Z$5:Z$31)</f>
        <v>4536395.2</v>
      </c>
      <c r="AA4" s="1">
        <f>+SUMIF(grunnur!$C$5:$C$31,"Reykjavík",grunnur!AA$5:AA$31)</f>
        <v>4610567.3000000007</v>
      </c>
      <c r="AB4" s="1">
        <f>+SUMIF(grunnur!$C$5:$C$31,"Reykjavík",grunnur!AB$5:AB$31)</f>
        <v>4644642</v>
      </c>
      <c r="AC4" s="1">
        <f>+SUMIF(grunnur!$C$5:$C$31,"Reykjavík",grunnur!AC$5:AC$31)</f>
        <v>4672063.9000000004</v>
      </c>
      <c r="AD4" s="1">
        <f>+SUMIF(grunnur!$C$5:$C$31,"Reykjavík",grunnur!AD$5:AD$31)</f>
        <v>4755061.6999999993</v>
      </c>
      <c r="AE4" s="1">
        <f>+SUMIF(grunnur!$C$5:$C$31,"Reykjavík",grunnur!AE$5:AE$31)</f>
        <v>4870930.4000000004</v>
      </c>
      <c r="AF4" s="1">
        <f>+SUMIF(grunnur!$C$5:$C$31,"Reykjavík",grunnur!AF$5:AF$31)</f>
        <v>4871905.2</v>
      </c>
      <c r="AG4" s="19"/>
    </row>
    <row r="5" spans="2:33" x14ac:dyDescent="0.25">
      <c r="B5" s="10">
        <v>1000</v>
      </c>
      <c r="C5" s="10" t="s">
        <v>11</v>
      </c>
      <c r="D5" s="12" t="s">
        <v>19</v>
      </c>
      <c r="E5" t="s">
        <v>20</v>
      </c>
      <c r="F5" s="1">
        <f>+SUMIF(grunnur!$C$5:$C$31,"Kópavogur",grunnur!F$5:F$31)</f>
        <v>289649.7</v>
      </c>
      <c r="G5" s="1">
        <f>+SUMIF(grunnur!$C$5:$C$31,"Kópavogur",grunnur!G$5:G$31)</f>
        <v>319957.5</v>
      </c>
      <c r="H5" s="1">
        <f>+SUMIF(grunnur!$C$5:$C$31,"Kópavogur",grunnur!H$5:H$31)</f>
        <v>337501.1</v>
      </c>
      <c r="I5" s="1">
        <f>+SUMIF(grunnur!$C$5:$C$31,"Kópavogur",grunnur!I$5:I$31)</f>
        <v>365529.5</v>
      </c>
      <c r="J5" s="1">
        <f>+SUMIF(grunnur!$C$5:$C$31,"Kópavogur",grunnur!J$5:J$31)</f>
        <v>439766.1</v>
      </c>
      <c r="K5" s="1">
        <f>+SUMIF(grunnur!$C$5:$C$31,"Kópavogur",grunnur!K$5:K$31)</f>
        <v>472347.8</v>
      </c>
      <c r="L5" s="1">
        <f>+SUMIF(grunnur!$C$5:$C$31,"Kópavogur",grunnur!L$5:L$31)</f>
        <v>500189.3</v>
      </c>
      <c r="M5" s="1">
        <f>+SUMIF(grunnur!$C$5:$C$31,"Kópavogur",grunnur!M$5:M$31)</f>
        <v>583221.70000000007</v>
      </c>
      <c r="N5" s="1">
        <f>+SUMIF(grunnur!$C$5:$C$31,"Kópavogur",grunnur!N$5:N$31)</f>
        <v>622489.59999999998</v>
      </c>
      <c r="O5" s="1">
        <f>+SUMIF(grunnur!$C$5:$C$31,"Kópavogur",grunnur!O$5:O$31)</f>
        <v>621796.5</v>
      </c>
      <c r="P5" s="1">
        <f>+SUMIF(grunnur!$C$5:$C$31,"Kópavogur",grunnur!P$5:P$31)</f>
        <v>636600.30000000005</v>
      </c>
      <c r="Q5" s="1">
        <f>+SUMIF(grunnur!$C$5:$C$31,"Kópavogur",grunnur!Q$5:Q$31)</f>
        <v>664601.5</v>
      </c>
      <c r="R5" s="1">
        <f>+SUMIF(grunnur!$C$5:$C$31,"Kópavogur",grunnur!R$5:R$31)</f>
        <v>755384.1</v>
      </c>
      <c r="S5" s="1">
        <f>+SUMIF(grunnur!$C$5:$C$31,"Kópavogur",grunnur!S$5:S$31)</f>
        <v>835176.5</v>
      </c>
      <c r="T5" s="1">
        <f>+SUMIF(grunnur!$C$5:$C$31,"Kópavogur",grunnur!T$5:T$31)</f>
        <v>872649.89999999991</v>
      </c>
      <c r="U5" s="1">
        <f>+SUMIF(grunnur!$C$5:$C$31,"Kópavogur",grunnur!U$5:U$31)</f>
        <v>876626.40000000014</v>
      </c>
      <c r="V5" s="1">
        <f>+SUMIF(grunnur!$C$5:$C$31,"Kópavogur",grunnur!V$5:V$31)</f>
        <v>877962.60000000009</v>
      </c>
      <c r="W5" s="1">
        <f>+SUMIF(grunnur!$C$5:$C$31,"Kópavogur",grunnur!W$5:W$31)</f>
        <v>881543.90000000014</v>
      </c>
      <c r="X5" s="1">
        <f>+SUMIF(grunnur!$C$5:$C$31,"Kópavogur",grunnur!X$5:X$31)</f>
        <v>868921.40000000014</v>
      </c>
      <c r="Y5" s="1">
        <f>+SUMIF(grunnur!$C$5:$C$31,"Kópavogur",grunnur!Y$5:Y$31)</f>
        <v>873343.4</v>
      </c>
      <c r="Z5" s="1">
        <f>+SUMIF(grunnur!$C$5:$C$31,"Kópavogur",grunnur!Z$5:Z$31)</f>
        <v>874423.3</v>
      </c>
      <c r="AA5" s="1">
        <f>+SUMIF(grunnur!$C$5:$C$31,"Kópavogur",grunnur!AA$5:AA$31)</f>
        <v>872575.5</v>
      </c>
      <c r="AB5" s="1">
        <f>+SUMIF(grunnur!$C$5:$C$31,"Kópavogur",grunnur!AB$5:AB$31)</f>
        <v>872365.5</v>
      </c>
      <c r="AC5" s="1">
        <f>+SUMIF(grunnur!$C$5:$C$31,"Kópavogur",grunnur!AC$5:AC$31)</f>
        <v>883780.8</v>
      </c>
      <c r="AD5" s="1">
        <f>+SUMIF(grunnur!$C$5:$C$31,"Kópavogur",grunnur!AD$5:AD$31)</f>
        <v>878165.10000000009</v>
      </c>
      <c r="AE5" s="1">
        <f>+SUMIF(grunnur!$C$5:$C$31,"Kópavogur",grunnur!AE$5:AE$31)</f>
        <v>885777.20000000007</v>
      </c>
      <c r="AF5" s="1">
        <f>+SUMIF(grunnur!$C$5:$C$31,"Kópavogur",grunnur!AF$5:AF$31)</f>
        <v>892977.3</v>
      </c>
      <c r="AG5" s="19"/>
    </row>
    <row r="6" spans="2:33" x14ac:dyDescent="0.25">
      <c r="B6" s="10">
        <v>1100</v>
      </c>
      <c r="C6" s="10" t="s">
        <v>17</v>
      </c>
      <c r="D6" s="12" t="s">
        <v>19</v>
      </c>
      <c r="E6" t="s">
        <v>20</v>
      </c>
      <c r="F6" s="1">
        <f>+SUMIF(grunnur!$C$5:$C$31,"Seltjarnarnesbær",grunnur!F$5:F$31)</f>
        <v>24245.200000000001</v>
      </c>
      <c r="G6" s="1">
        <f>+SUMIF(grunnur!$C$5:$C$31,"Seltjarnarnesbær",grunnur!G$5:G$31)</f>
        <v>29571.300000000003</v>
      </c>
      <c r="H6" s="1">
        <f>+SUMIF(grunnur!$C$5:$C$31,"Seltjarnarnesbær",grunnur!H$5:H$31)</f>
        <v>33083.300000000003</v>
      </c>
      <c r="I6" s="1">
        <f>+SUMIF(grunnur!$C$5:$C$31,"Seltjarnarnesbær",grunnur!I$5:I$31)</f>
        <v>31929.799999999996</v>
      </c>
      <c r="J6" s="1">
        <f>+SUMIF(grunnur!$C$5:$C$31,"Seltjarnarnesbær",grunnur!J$5:J$31)</f>
        <v>35376.199999999997</v>
      </c>
      <c r="K6" s="1">
        <f>+SUMIF(grunnur!$C$5:$C$31,"Seltjarnarnesbær",grunnur!K$5:K$31)</f>
        <v>35616</v>
      </c>
      <c r="L6" s="1">
        <f>+SUMIF(grunnur!$C$5:$C$31,"Seltjarnarnesbær",grunnur!L$5:L$31)</f>
        <v>37103.699999999997</v>
      </c>
      <c r="M6" s="1">
        <f>+SUMIF(grunnur!$C$5:$C$31,"Seltjarnarnesbær",grunnur!M$5:M$31)</f>
        <v>37115.399999999994</v>
      </c>
      <c r="N6" s="1">
        <f>+SUMIF(grunnur!$C$5:$C$31,"Seltjarnarnesbær",grunnur!N$5:N$31)</f>
        <v>37115.399999999994</v>
      </c>
      <c r="O6" s="1">
        <f>+SUMIF(grunnur!$C$5:$C$31,"Seltjarnarnesbær",grunnur!O$5:O$31)</f>
        <v>37089.200000000004</v>
      </c>
      <c r="P6" s="1">
        <f>+SUMIF(grunnur!$C$5:$C$31,"Seltjarnarnesbær",grunnur!P$5:P$31)</f>
        <v>37082.400000000001</v>
      </c>
      <c r="Q6" s="1">
        <f>+SUMIF(grunnur!$C$5:$C$31,"Seltjarnarnesbær",grunnur!Q$5:Q$31)</f>
        <v>36963.699999999997</v>
      </c>
      <c r="R6" s="1">
        <f>+SUMIF(grunnur!$C$5:$C$31,"Seltjarnarnesbær",grunnur!R$5:R$31)</f>
        <v>43837.2</v>
      </c>
      <c r="S6" s="1">
        <f>+SUMIF(grunnur!$C$5:$C$31,"Seltjarnarnesbær",grunnur!S$5:S$31)</f>
        <v>43832.3</v>
      </c>
      <c r="T6" s="1">
        <f>+SUMIF(grunnur!$C$5:$C$31,"Seltjarnarnesbær",grunnur!T$5:T$31)</f>
        <v>41555.299999999996</v>
      </c>
      <c r="U6" s="1">
        <f>+SUMIF(grunnur!$C$5:$C$31,"Seltjarnarnesbær",grunnur!U$5:U$31)</f>
        <v>41572.399999999994</v>
      </c>
      <c r="V6" s="1">
        <f>+SUMIF(grunnur!$C$5:$C$31,"Seltjarnarnesbær",grunnur!V$5:V$31)</f>
        <v>41572.399999999994</v>
      </c>
      <c r="W6" s="1">
        <f>+SUMIF(grunnur!$C$5:$C$31,"Seltjarnarnesbær",grunnur!W$5:W$31)</f>
        <v>41507.5</v>
      </c>
      <c r="X6" s="1">
        <f>+SUMIF(grunnur!$C$5:$C$31,"Seltjarnarnesbær",grunnur!X$5:X$31)</f>
        <v>41507.5</v>
      </c>
      <c r="Y6" s="1">
        <f>+SUMIF(grunnur!$C$5:$C$31,"Seltjarnarnesbær",grunnur!Y$5:Y$31)</f>
        <v>41507.5</v>
      </c>
      <c r="Z6" s="1">
        <f>+SUMIF(grunnur!$C$5:$C$31,"Seltjarnarnesbær",grunnur!Z$5:Z$31)</f>
        <v>41507.5</v>
      </c>
      <c r="AA6" s="1">
        <f>+SUMIF(grunnur!$C$5:$C$31,"Seltjarnarnesbær",grunnur!AA$5:AA$31)</f>
        <v>41965.7</v>
      </c>
      <c r="AB6" s="1">
        <f>+SUMIF(grunnur!$C$5:$C$31,"Seltjarnarnesbær",grunnur!AB$5:AB$31)</f>
        <v>39838.9</v>
      </c>
      <c r="AC6" s="1">
        <f>+SUMIF(grunnur!$C$5:$C$31,"Seltjarnarnesbær",grunnur!AC$5:AC$31)</f>
        <v>39281</v>
      </c>
      <c r="AD6" s="1">
        <f>+SUMIF(grunnur!$C$5:$C$31,"Seltjarnarnesbær",grunnur!AD$5:AD$31)</f>
        <v>37763.800000000003</v>
      </c>
      <c r="AE6" s="1">
        <f>+SUMIF(grunnur!$C$5:$C$31,"Seltjarnarnesbær",grunnur!AE$5:AE$31)</f>
        <v>41040.100000000006</v>
      </c>
      <c r="AF6" s="1">
        <f>+SUMIF(grunnur!$C$5:$C$31,"Seltjarnarnesbær",grunnur!AF$5:AF$31)</f>
        <v>41040.100000000006</v>
      </c>
      <c r="AG6" s="19"/>
    </row>
    <row r="7" spans="2:33" x14ac:dyDescent="0.25">
      <c r="B7" s="10">
        <v>1300</v>
      </c>
      <c r="C7" s="10" t="s">
        <v>13</v>
      </c>
      <c r="D7" s="12" t="s">
        <v>19</v>
      </c>
      <c r="E7" t="s">
        <v>20</v>
      </c>
      <c r="F7" s="1">
        <f>+SUMIF(grunnur!$C$5:$C$31,"Garðabær",grunnur!F$5:F$31)</f>
        <v>95871.4</v>
      </c>
      <c r="G7" s="1">
        <f>+SUMIF(grunnur!$C$5:$C$31,"Garðabær",grunnur!G$5:G$31)</f>
        <v>100424.2</v>
      </c>
      <c r="H7" s="1">
        <f>+SUMIF(grunnur!$C$5:$C$31,"Garðabær",grunnur!H$5:H$31)</f>
        <v>105693</v>
      </c>
      <c r="I7" s="1">
        <f>+SUMIF(grunnur!$C$5:$C$31,"Garðabær",grunnur!I$5:I$31)</f>
        <v>120280.5</v>
      </c>
      <c r="J7" s="1">
        <f>+SUMIF(grunnur!$C$5:$C$31,"Garðabær",grunnur!J$5:J$31)</f>
        <v>133341.1</v>
      </c>
      <c r="K7" s="1">
        <f>+SUMIF(grunnur!$C$5:$C$31,"Garðabær",grunnur!K$5:K$31)</f>
        <v>135884.19999999998</v>
      </c>
      <c r="L7" s="1">
        <f>+SUMIF(grunnur!$C$5:$C$31,"Garðabær",grunnur!L$5:L$31)</f>
        <v>155927.1</v>
      </c>
      <c r="M7" s="1">
        <f>+SUMIF(grunnur!$C$5:$C$31,"Garðabær",grunnur!M$5:M$31)</f>
        <v>173928.3</v>
      </c>
      <c r="N7" s="1">
        <f>+SUMIF(grunnur!$C$5:$C$31,"Garðabær",grunnur!N$5:N$31)</f>
        <v>180251.09999999998</v>
      </c>
      <c r="O7" s="1">
        <f>+SUMIF(grunnur!$C$5:$C$31,"Garðabær",grunnur!O$5:O$31)</f>
        <v>183713.89999999997</v>
      </c>
      <c r="P7" s="1">
        <f>+SUMIF(grunnur!$C$5:$C$31,"Garðabær",grunnur!P$5:P$31)</f>
        <v>193255.09999999998</v>
      </c>
      <c r="Q7" s="1">
        <f>+SUMIF(grunnur!$C$5:$C$31,"Garðabær",grunnur!Q$5:Q$31)</f>
        <v>227348</v>
      </c>
      <c r="R7" s="1">
        <f>+SUMIF(grunnur!$C$5:$C$31,"Garðabær",grunnur!R$5:R$31)</f>
        <v>249380.5</v>
      </c>
      <c r="S7" s="1">
        <f>+SUMIF(grunnur!$C$5:$C$31,"Garðabær",grunnur!S$5:S$31)</f>
        <v>262856.40000000002</v>
      </c>
      <c r="T7" s="1">
        <f>+SUMIF(grunnur!$C$5:$C$31,"Garðabær",grunnur!T$5:T$31)</f>
        <v>291197.90000000002</v>
      </c>
      <c r="U7" s="1">
        <f>+SUMIF(grunnur!$C$5:$C$31,"Garðabær",grunnur!U$5:U$31)</f>
        <v>291047.7</v>
      </c>
      <c r="V7" s="1">
        <f>+SUMIF(grunnur!$C$5:$C$31,"Garðabær",grunnur!V$5:V$31)</f>
        <v>291073.40000000002</v>
      </c>
      <c r="W7" s="1">
        <f>+SUMIF(grunnur!$C$5:$C$31,"Garðabær",grunnur!W$5:W$31)</f>
        <v>298341.3</v>
      </c>
      <c r="X7" s="1">
        <f>+SUMIF(grunnur!$C$5:$C$31,"Garðabær",grunnur!X$5:X$31)</f>
        <v>299878.7</v>
      </c>
      <c r="Y7" s="1">
        <f>+SUMIF(grunnur!$C$5:$C$31,"Garðabær",grunnur!Y$5:Y$31)</f>
        <v>316094.3</v>
      </c>
      <c r="Z7" s="1">
        <f>+SUMIF(grunnur!$C$5:$C$31,"Garðabær",grunnur!Z$5:Z$31)</f>
        <v>315483.09999999998</v>
      </c>
      <c r="AA7" s="1">
        <f>+SUMIF(grunnur!$C$5:$C$31,"Garðabær",grunnur!AA$5:AA$31)</f>
        <v>316290.19999999995</v>
      </c>
      <c r="AB7" s="1">
        <f>+SUMIF(grunnur!$C$5:$C$31,"Garðabær",grunnur!AB$5:AB$31)</f>
        <v>319955.09999999998</v>
      </c>
      <c r="AC7" s="1">
        <f>+SUMIF(grunnur!$C$5:$C$31,"Garðabær",grunnur!AC$5:AC$31)</f>
        <v>323575.40000000002</v>
      </c>
      <c r="AD7" s="1">
        <f>+SUMIF(grunnur!$C$5:$C$31,"Garðabær",grunnur!AD$5:AD$31)</f>
        <v>328548.59999999998</v>
      </c>
      <c r="AE7" s="1">
        <f>+SUMIF(grunnur!$C$5:$C$31,"Garðabær",grunnur!AE$5:AE$31)</f>
        <v>331169.8</v>
      </c>
      <c r="AF7" s="1">
        <f>+SUMIF(grunnur!$C$5:$C$31,"Garðabær",grunnur!AF$5:AF$31)</f>
        <v>330843.09999999998</v>
      </c>
      <c r="AG7" s="19"/>
    </row>
    <row r="8" spans="2:33" x14ac:dyDescent="0.25">
      <c r="B8" s="10">
        <v>1400</v>
      </c>
      <c r="C8" s="10" t="s">
        <v>14</v>
      </c>
      <c r="D8" s="12" t="s">
        <v>19</v>
      </c>
      <c r="E8" t="s">
        <v>20</v>
      </c>
      <c r="F8" s="1">
        <f>+SUMIF(grunnur!$C$5:$C$31,"Hafnarfjörður",grunnur!F$5:F$31)</f>
        <v>354992.7</v>
      </c>
      <c r="G8" s="1">
        <f>+SUMIF(grunnur!$C$5:$C$31,"Hafnarfjörður",grunnur!G$5:G$31)</f>
        <v>361094.69999999995</v>
      </c>
      <c r="H8" s="1">
        <f>+SUMIF(grunnur!$C$5:$C$31,"Hafnarfjörður",grunnur!H$5:H$31)</f>
        <v>375673.3</v>
      </c>
      <c r="I8" s="1">
        <f>+SUMIF(grunnur!$C$5:$C$31,"Hafnarfjörður",grunnur!I$5:I$31)</f>
        <v>456147.1</v>
      </c>
      <c r="J8" s="1">
        <f>+SUMIF(grunnur!$C$5:$C$31,"Hafnarfjörður",grunnur!J$5:J$31)</f>
        <v>472807.7</v>
      </c>
      <c r="K8" s="1">
        <f>+SUMIF(grunnur!$C$5:$C$31,"Hafnarfjörður",grunnur!K$5:K$31)</f>
        <v>502592</v>
      </c>
      <c r="L8" s="1">
        <f>+SUMIF(grunnur!$C$5:$C$31,"Hafnarfjörður",grunnur!L$5:L$31)</f>
        <v>514394</v>
      </c>
      <c r="M8" s="1">
        <f>+SUMIF(grunnur!$C$5:$C$31,"Hafnarfjörður",grunnur!M$5:M$31)</f>
        <v>531999.19999999995</v>
      </c>
      <c r="N8" s="1">
        <f>+SUMIF(grunnur!$C$5:$C$31,"Hafnarfjörður",grunnur!N$5:N$31)</f>
        <v>552560.30000000005</v>
      </c>
      <c r="O8" s="1">
        <f>+SUMIF(grunnur!$C$5:$C$31,"Hafnarfjörður",grunnur!O$5:O$31)</f>
        <v>686523.1</v>
      </c>
      <c r="P8" s="1">
        <f>+SUMIF(grunnur!$C$5:$C$31,"Hafnarfjörður",grunnur!P$5:P$31)</f>
        <v>716052.3</v>
      </c>
      <c r="Q8" s="1">
        <f>+SUMIF(grunnur!$C$5:$C$31,"Hafnarfjörður",grunnur!Q$5:Q$31)</f>
        <v>733248.2</v>
      </c>
      <c r="R8" s="1">
        <f>+SUMIF(grunnur!$C$5:$C$31,"Hafnarfjörður",grunnur!R$5:R$31)</f>
        <v>765835.5</v>
      </c>
      <c r="S8" s="1">
        <f>+SUMIF(grunnur!$C$5:$C$31,"Hafnarfjörður",grunnur!S$5:S$31)</f>
        <v>824866.8</v>
      </c>
      <c r="T8" s="1">
        <f>+SUMIF(grunnur!$C$5:$C$31,"Hafnarfjörður",grunnur!T$5:T$31)</f>
        <v>878908.09999999986</v>
      </c>
      <c r="U8" s="1">
        <f>+SUMIF(grunnur!$C$5:$C$31,"Hafnarfjörður",grunnur!U$5:U$31)</f>
        <v>900655.2</v>
      </c>
      <c r="V8" s="1">
        <f>+SUMIF(grunnur!$C$5:$C$31,"Hafnarfjörður",grunnur!V$5:V$31)</f>
        <v>909863.60000000009</v>
      </c>
      <c r="W8" s="1">
        <f>+SUMIF(grunnur!$C$5:$C$31,"Hafnarfjörður",grunnur!W$5:W$31)</f>
        <v>917445.7</v>
      </c>
      <c r="X8" s="1">
        <f>+SUMIF(grunnur!$C$5:$C$31,"Hafnarfjörður",grunnur!X$5:X$31)</f>
        <v>917767.8</v>
      </c>
      <c r="Y8" s="1">
        <f>+SUMIF(grunnur!$C$5:$C$31,"Hafnarfjörður",grunnur!Y$5:Y$31)</f>
        <v>913212.39999999991</v>
      </c>
      <c r="Z8" s="1">
        <f>+SUMIF(grunnur!$C$5:$C$31,"Hafnarfjörður",grunnur!Z$5:Z$31)</f>
        <v>911367.6</v>
      </c>
      <c r="AA8" s="1">
        <f>+SUMIF(grunnur!$C$5:$C$31,"Hafnarfjörður",grunnur!AA$5:AA$31)</f>
        <v>905916</v>
      </c>
      <c r="AB8" s="1">
        <f>+SUMIF(grunnur!$C$5:$C$31,"Hafnarfjörður",grunnur!AB$5:AB$31)</f>
        <v>920479.5</v>
      </c>
      <c r="AC8" s="1">
        <f>+SUMIF(grunnur!$C$5:$C$31,"Hafnarfjörður",grunnur!AC$5:AC$31)</f>
        <v>943865.5</v>
      </c>
      <c r="AD8" s="1">
        <f>+SUMIF(grunnur!$C$5:$C$31,"Hafnarfjörður",grunnur!AD$5:AD$31)</f>
        <v>965646.7</v>
      </c>
      <c r="AE8" s="1">
        <f>+SUMIF(grunnur!$C$5:$C$31,"Hafnarfjörður",grunnur!AE$5:AE$31)</f>
        <v>984169.39999999991</v>
      </c>
      <c r="AF8" s="1">
        <f>+SUMIF(grunnur!$C$5:$C$31,"Hafnarfjörður",grunnur!AF$5:AF$31)</f>
        <v>996777.39999999991</v>
      </c>
      <c r="AG8" s="19"/>
    </row>
    <row r="9" spans="2:33" x14ac:dyDescent="0.25">
      <c r="B9" s="10">
        <v>1604</v>
      </c>
      <c r="C9" s="10" t="s">
        <v>15</v>
      </c>
      <c r="D9" s="12" t="s">
        <v>19</v>
      </c>
      <c r="E9" t="s">
        <v>20</v>
      </c>
      <c r="F9" s="1">
        <f>+SUMIF(grunnur!$C$5:$C$31,"Mosfellsbær",grunnur!F$5:F$31)</f>
        <v>70281.799999999988</v>
      </c>
      <c r="G9" s="1">
        <f>+SUMIF(grunnur!$C$5:$C$31,"Mosfellsbær",grunnur!G$5:G$31)</f>
        <v>74341.200000000012</v>
      </c>
      <c r="H9" s="1">
        <f>+SUMIF(grunnur!$C$5:$C$31,"Mosfellsbær",grunnur!H$5:H$31)</f>
        <v>79453.399999999994</v>
      </c>
      <c r="I9" s="1">
        <f>+SUMIF(grunnur!$C$5:$C$31,"Mosfellsbær",grunnur!I$5:I$31)</f>
        <v>89121.5</v>
      </c>
      <c r="J9" s="1">
        <f>+SUMIF(grunnur!$C$5:$C$31,"Mosfellsbær",grunnur!J$5:J$31)</f>
        <v>99406.1</v>
      </c>
      <c r="K9" s="1">
        <f>+SUMIF(grunnur!$C$5:$C$31,"Mosfellsbær",grunnur!K$5:K$31)</f>
        <v>106267.4</v>
      </c>
      <c r="L9" s="1">
        <f>+SUMIF(grunnur!$C$5:$C$31,"Mosfellsbær",grunnur!L$5:L$31)</f>
        <v>110132.70000000001</v>
      </c>
      <c r="M9" s="1">
        <f>+SUMIF(grunnur!$C$5:$C$31,"Mosfellsbær",grunnur!M$5:M$31)</f>
        <v>120130.4</v>
      </c>
      <c r="N9" s="1">
        <f>+SUMIF(grunnur!$C$5:$C$31,"Mosfellsbær",grunnur!N$5:N$31)</f>
        <v>135313.20000000001</v>
      </c>
      <c r="O9" s="1">
        <f>+SUMIF(grunnur!$C$5:$C$31,"Mosfellsbær",grunnur!O$5:O$31)</f>
        <v>151735.9</v>
      </c>
      <c r="P9" s="1">
        <f>+SUMIF(grunnur!$C$5:$C$31,"Mosfellsbær",grunnur!P$5:P$31)</f>
        <v>153381.90000000002</v>
      </c>
      <c r="Q9" s="1">
        <f>+SUMIF(grunnur!$C$5:$C$31,"Mosfellsbær",grunnur!Q$5:Q$31)</f>
        <v>170497.39999999997</v>
      </c>
      <c r="R9" s="1">
        <f>+SUMIF(grunnur!$C$5:$C$31,"Mosfellsbær",grunnur!R$5:R$31)</f>
        <v>166070.79999999999</v>
      </c>
      <c r="S9" s="1">
        <f>+SUMIF(grunnur!$C$5:$C$31,"Mosfellsbær",grunnur!S$5:S$31)</f>
        <v>171296.09999999998</v>
      </c>
      <c r="T9" s="1">
        <f>+SUMIF(grunnur!$C$5:$C$31,"Mosfellsbær",grunnur!T$5:T$31)</f>
        <v>178207</v>
      </c>
      <c r="U9" s="1">
        <f>+SUMIF(grunnur!$C$5:$C$31,"Mosfellsbær",grunnur!U$5:U$31)</f>
        <v>178992.5</v>
      </c>
      <c r="V9" s="1">
        <f>+SUMIF(grunnur!$C$5:$C$31,"Mosfellsbær",grunnur!V$5:V$31)</f>
        <v>184978.09999999998</v>
      </c>
      <c r="W9" s="1">
        <f>+SUMIF(grunnur!$C$5:$C$31,"Mosfellsbær",grunnur!W$5:W$31)</f>
        <v>185104.2</v>
      </c>
      <c r="X9" s="1">
        <f>+SUMIF(grunnur!$C$5:$C$31,"Mosfellsbær",grunnur!X$5:X$31)</f>
        <v>189259.2</v>
      </c>
      <c r="Y9" s="1">
        <f>+SUMIF(grunnur!$C$5:$C$31,"Mosfellsbær",grunnur!Y$5:Y$31)</f>
        <v>193979.9</v>
      </c>
      <c r="Z9" s="1">
        <f>+SUMIF(grunnur!$C$5:$C$31,"Mosfellsbær",grunnur!Z$5:Z$31)</f>
        <v>200653.3</v>
      </c>
      <c r="AA9" s="1">
        <f>+SUMIF(grunnur!$C$5:$C$31,"Mosfellsbær",grunnur!AA$5:AA$31)</f>
        <v>203675.6</v>
      </c>
      <c r="AB9" s="1">
        <f>+SUMIF(grunnur!$C$5:$C$31,"Mosfellsbær",grunnur!AB$5:AB$31)</f>
        <v>210269.3</v>
      </c>
      <c r="AC9" s="1">
        <f>+SUMIF(grunnur!$C$5:$C$31,"Mosfellsbær",grunnur!AC$5:AC$31)</f>
        <v>213912.2</v>
      </c>
      <c r="AD9" s="1">
        <f>+SUMIF(grunnur!$C$5:$C$31,"Mosfellsbær",grunnur!AD$5:AD$31)</f>
        <v>229312.7</v>
      </c>
      <c r="AE9" s="1">
        <f>+SUMIF(grunnur!$C$5:$C$31,"Mosfellsbær",grunnur!AE$5:AE$31)</f>
        <v>243448.59999999998</v>
      </c>
      <c r="AF9" s="1">
        <f>+SUMIF(grunnur!$C$5:$C$31,"Mosfellsbær",grunnur!AF$5:AF$31)</f>
        <v>249394.4</v>
      </c>
      <c r="AG9" s="19"/>
    </row>
    <row r="10" spans="2:33" x14ac:dyDescent="0.25">
      <c r="B10" s="16">
        <v>1606</v>
      </c>
      <c r="C10" s="16" t="s">
        <v>16</v>
      </c>
      <c r="D10" s="17" t="s">
        <v>19</v>
      </c>
      <c r="E10" s="18" t="s">
        <v>20</v>
      </c>
      <c r="F10" s="3">
        <f>+SUMIF(grunnur!$C$5:$C$31,"Kjósarhreppur",grunnur!F$5:F$31)</f>
        <v>5497.5</v>
      </c>
      <c r="G10" s="3">
        <f>+SUMIF(grunnur!$C$5:$C$31,"Kjósarhreppur",grunnur!G$5:G$31)</f>
        <v>5885.5</v>
      </c>
      <c r="H10" s="3">
        <f>+SUMIF(grunnur!$C$5:$C$31,"Kjósarhreppur",grunnur!H$5:H$31)</f>
        <v>5990.7999999999993</v>
      </c>
      <c r="I10" s="3">
        <f>+SUMIF(grunnur!$C$5:$C$31,"Kjósarhreppur",grunnur!I$5:I$31)</f>
        <v>5834.5</v>
      </c>
      <c r="J10" s="3">
        <f>+SUMIF(grunnur!$C$5:$C$31,"Kjósarhreppur",grunnur!J$5:J$31)</f>
        <v>6527.2999999999993</v>
      </c>
      <c r="K10" s="3">
        <f>+SUMIF(grunnur!$C$5:$C$31,"Kjósarhreppur",grunnur!K$5:K$31)</f>
        <v>6527.2999999999993</v>
      </c>
      <c r="L10" s="3">
        <f>+SUMIF(grunnur!$C$5:$C$31,"Kjósarhreppur",grunnur!L$5:L$31)</f>
        <v>6451.4</v>
      </c>
      <c r="M10" s="3">
        <f>+SUMIF(grunnur!$C$5:$C$31,"Kjósarhreppur",grunnur!M$5:M$31)</f>
        <v>3322.6</v>
      </c>
      <c r="N10" s="3">
        <f>+SUMIF(grunnur!$C$5:$C$31,"Kjósarhreppur",grunnur!N$5:N$31)</f>
        <v>3251.9</v>
      </c>
      <c r="O10" s="3">
        <f>+SUMIF(grunnur!$C$5:$C$31,"Kjósarhreppur",grunnur!O$5:O$31)</f>
        <v>3977.3999999999996</v>
      </c>
      <c r="P10" s="3">
        <f>+SUMIF(grunnur!$C$5:$C$31,"Kjósarhreppur",grunnur!P$5:P$31)</f>
        <v>4057.8999999999996</v>
      </c>
      <c r="Q10" s="3">
        <f>+SUMIF(grunnur!$C$5:$C$31,"Kjósarhreppur",grunnur!Q$5:Q$31)</f>
        <v>3575.8999999999996</v>
      </c>
      <c r="R10" s="3">
        <f>+SUMIF(grunnur!$C$5:$C$31,"Kjósarhreppur",grunnur!R$5:R$31)</f>
        <v>4632.6000000000004</v>
      </c>
      <c r="S10" s="3">
        <f>+SUMIF(grunnur!$C$5:$C$31,"Kjósarhreppur",grunnur!S$5:S$31)</f>
        <v>4923.3999999999996</v>
      </c>
      <c r="T10" s="3">
        <f>+SUMIF(grunnur!$C$5:$C$31,"Kjósarhreppur",grunnur!T$5:T$31)</f>
        <v>4923.3999999999996</v>
      </c>
      <c r="U10" s="3">
        <f>+SUMIF(grunnur!$C$5:$C$31,"Kjósarhreppur",grunnur!U$5:U$31)</f>
        <v>4923.3999999999996</v>
      </c>
      <c r="V10" s="3">
        <f>+SUMIF(grunnur!$C$5:$C$31,"Kjósarhreppur",grunnur!V$5:V$31)</f>
        <v>5215.8</v>
      </c>
      <c r="W10" s="3">
        <f>+SUMIF(grunnur!$C$5:$C$31,"Kjósarhreppur",grunnur!W$5:W$31)</f>
        <v>5167.8</v>
      </c>
      <c r="X10" s="3">
        <f>+SUMIF(grunnur!$C$5:$C$31,"Kjósarhreppur",grunnur!X$5:X$31)</f>
        <v>5167.8</v>
      </c>
      <c r="Y10" s="3">
        <f>+SUMIF(grunnur!$C$5:$C$31,"Kjósarhreppur",grunnur!Y$5:Y$31)</f>
        <v>5167.8</v>
      </c>
      <c r="Z10" s="3">
        <f>+SUMIF(grunnur!$C$5:$C$31,"Kjósarhreppur",grunnur!Z$5:Z$31)</f>
        <v>5167.8</v>
      </c>
      <c r="AA10" s="3">
        <f>+SUMIF(grunnur!$C$5:$C$31,"Kjósarhreppur",grunnur!AA$5:AA$31)</f>
        <v>5209.8</v>
      </c>
      <c r="AB10" s="3">
        <f>+SUMIF(grunnur!$C$5:$C$31,"Kjósarhreppur",grunnur!AB$5:AB$31)</f>
        <v>5209.8</v>
      </c>
      <c r="AC10" s="3">
        <f>+SUMIF(grunnur!$C$5:$C$31,"Kjósarhreppur",grunnur!AC$5:AC$31)</f>
        <v>5379.4</v>
      </c>
      <c r="AD10" s="3">
        <f>+SUMIF(grunnur!$C$5:$C$31,"Kjósarhreppur",grunnur!AD$5:AD$31)</f>
        <v>5909.0999999999995</v>
      </c>
      <c r="AE10" s="3">
        <f>+SUMIF(grunnur!$C$5:$C$31,"Kjósarhreppur",grunnur!AE$5:AE$31)</f>
        <v>5909.0999999999995</v>
      </c>
      <c r="AF10" s="3">
        <f>+SUMIF(grunnur!$C$5:$C$31,"Kjósarhreppur",grunnur!AF$5:AF$31)</f>
        <v>6005.5</v>
      </c>
      <c r="AG10" s="19"/>
    </row>
    <row r="11" spans="2:33" x14ac:dyDescent="0.25">
      <c r="C11" s="10" t="s">
        <v>21</v>
      </c>
      <c r="D11" s="12" t="s">
        <v>19</v>
      </c>
      <c r="E11" t="s">
        <v>20</v>
      </c>
      <c r="F11" s="1">
        <f>+SUM(F4:F10)</f>
        <v>4075860.7</v>
      </c>
      <c r="G11" s="1">
        <f t="shared" ref="G11:AF11" si="0">+SUM(G4:G10)</f>
        <v>4162747</v>
      </c>
      <c r="H11" s="1">
        <f t="shared" si="0"/>
        <v>4240013.4999999991</v>
      </c>
      <c r="I11" s="1">
        <f t="shared" si="0"/>
        <v>4401255.3999999994</v>
      </c>
      <c r="J11" s="1">
        <f t="shared" si="0"/>
        <v>4600682.3</v>
      </c>
      <c r="K11" s="1">
        <f t="shared" si="0"/>
        <v>4792162.5</v>
      </c>
      <c r="L11" s="1">
        <f t="shared" si="0"/>
        <v>4981676.8999999994</v>
      </c>
      <c r="M11" s="1">
        <f t="shared" si="0"/>
        <v>5112474</v>
      </c>
      <c r="N11" s="1">
        <f t="shared" si="0"/>
        <v>5357607.9000000004</v>
      </c>
      <c r="O11" s="1">
        <f t="shared" si="0"/>
        <v>5642924.8000000017</v>
      </c>
      <c r="P11" s="1">
        <f t="shared" si="0"/>
        <v>5720348.4000000004</v>
      </c>
      <c r="Q11" s="1">
        <f t="shared" si="0"/>
        <v>5826294.8000000017</v>
      </c>
      <c r="R11" s="1">
        <f t="shared" si="0"/>
        <v>6087323.1999999993</v>
      </c>
      <c r="S11" s="1">
        <f t="shared" si="0"/>
        <v>6365055.9000000004</v>
      </c>
      <c r="T11" s="1">
        <f t="shared" si="0"/>
        <v>6672672.3999999994</v>
      </c>
      <c r="U11" s="1">
        <f t="shared" si="0"/>
        <v>6737231.8000000017</v>
      </c>
      <c r="V11" s="1">
        <f t="shared" si="0"/>
        <v>6827954.2999999998</v>
      </c>
      <c r="W11" s="1">
        <f t="shared" si="0"/>
        <v>6851204.6000000006</v>
      </c>
      <c r="X11" s="1">
        <f t="shared" si="0"/>
        <v>6862147.3000000007</v>
      </c>
      <c r="Y11" s="1">
        <f t="shared" si="0"/>
        <v>6882343.2000000002</v>
      </c>
      <c r="Z11" s="1">
        <f t="shared" si="0"/>
        <v>6884997.7999999989</v>
      </c>
      <c r="AA11" s="1">
        <f t="shared" si="0"/>
        <v>6956200.1000000006</v>
      </c>
      <c r="AB11" s="1">
        <f t="shared" si="0"/>
        <v>7012760.0999999996</v>
      </c>
      <c r="AC11" s="1">
        <f t="shared" si="0"/>
        <v>7081858.2000000011</v>
      </c>
      <c r="AD11" s="1">
        <f t="shared" si="0"/>
        <v>7200407.6999999983</v>
      </c>
      <c r="AE11" s="1">
        <f t="shared" si="0"/>
        <v>7362444.5999999996</v>
      </c>
      <c r="AF11" s="1">
        <f t="shared" si="0"/>
        <v>7388943</v>
      </c>
    </row>
    <row r="12" spans="2:33" x14ac:dyDescent="0.25">
      <c r="AF12" s="11"/>
    </row>
    <row r="13" spans="2:33" s="15" customFormat="1" x14ac:dyDescent="0.25">
      <c r="B13" s="13" t="s">
        <v>22</v>
      </c>
      <c r="C13" s="13"/>
      <c r="D13" s="1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2:33" x14ac:dyDescent="0.25">
      <c r="B14" s="7" t="s">
        <v>2</v>
      </c>
      <c r="C14" s="7" t="s">
        <v>18</v>
      </c>
      <c r="D14" s="7" t="s">
        <v>3</v>
      </c>
      <c r="E14" s="9" t="s">
        <v>4</v>
      </c>
      <c r="F14" s="22"/>
      <c r="G14" s="9">
        <v>1995</v>
      </c>
      <c r="H14" s="9">
        <v>1996</v>
      </c>
      <c r="I14" s="9">
        <v>1997</v>
      </c>
      <c r="J14" s="9">
        <v>1998</v>
      </c>
      <c r="K14" s="9">
        <v>1999</v>
      </c>
      <c r="L14" s="9">
        <v>2000</v>
      </c>
      <c r="M14" s="9">
        <v>2001</v>
      </c>
      <c r="N14" s="9">
        <v>2002</v>
      </c>
      <c r="O14" s="9">
        <v>2003</v>
      </c>
      <c r="P14" s="9">
        <v>2004</v>
      </c>
      <c r="Q14" s="9">
        <v>2005</v>
      </c>
      <c r="R14" s="9">
        <v>2006</v>
      </c>
      <c r="S14" s="9">
        <v>2007</v>
      </c>
      <c r="T14" s="9">
        <v>2008</v>
      </c>
      <c r="U14" s="9">
        <v>2009</v>
      </c>
      <c r="V14" s="9">
        <v>2010</v>
      </c>
      <c r="W14" s="9">
        <v>2011</v>
      </c>
      <c r="X14" s="9">
        <v>2012</v>
      </c>
      <c r="Y14" s="9">
        <v>2013</v>
      </c>
      <c r="Z14" s="9">
        <v>2014</v>
      </c>
      <c r="AA14" s="9">
        <v>2015</v>
      </c>
      <c r="AB14" s="9">
        <v>2016</v>
      </c>
      <c r="AC14" s="9">
        <v>2017</v>
      </c>
      <c r="AD14" s="9">
        <v>2018</v>
      </c>
      <c r="AE14" s="9">
        <v>2019</v>
      </c>
      <c r="AF14" s="9">
        <v>2020</v>
      </c>
    </row>
    <row r="15" spans="2:33" x14ac:dyDescent="0.25">
      <c r="B15" s="6" t="s">
        <v>5</v>
      </c>
      <c r="C15" s="10" t="s">
        <v>6</v>
      </c>
      <c r="D15" s="12" t="s">
        <v>19</v>
      </c>
      <c r="E15" t="s">
        <v>20</v>
      </c>
      <c r="F15" s="1"/>
      <c r="G15" s="1">
        <f>+G4-F4</f>
        <v>36150.200000000186</v>
      </c>
      <c r="H15" s="1">
        <f t="shared" ref="H15:AF22" si="1">+H4-G4</f>
        <v>31145.999999999534</v>
      </c>
      <c r="I15" s="1">
        <f t="shared" si="1"/>
        <v>29793.900000000373</v>
      </c>
      <c r="J15" s="1">
        <f t="shared" si="1"/>
        <v>81045.300000000279</v>
      </c>
      <c r="K15" s="1">
        <f t="shared" si="1"/>
        <v>119469.99999999953</v>
      </c>
      <c r="L15" s="1">
        <f t="shared" si="1"/>
        <v>124550.89999999991</v>
      </c>
      <c r="M15" s="1">
        <f t="shared" si="1"/>
        <v>5277.7000000001863</v>
      </c>
      <c r="N15" s="1">
        <f t="shared" si="1"/>
        <v>163870.00000000047</v>
      </c>
      <c r="O15" s="1">
        <f t="shared" si="1"/>
        <v>131462.39999999991</v>
      </c>
      <c r="P15" s="1">
        <f t="shared" si="1"/>
        <v>21829.699999999721</v>
      </c>
      <c r="Q15" s="1">
        <f t="shared" si="1"/>
        <v>10141.600000000559</v>
      </c>
      <c r="R15" s="1">
        <f t="shared" si="1"/>
        <v>112122.39999999944</v>
      </c>
      <c r="S15" s="1">
        <f t="shared" si="1"/>
        <v>119921.90000000037</v>
      </c>
      <c r="T15" s="1">
        <f t="shared" si="1"/>
        <v>183126.39999999944</v>
      </c>
      <c r="U15" s="1">
        <f t="shared" si="1"/>
        <v>38183.400000000373</v>
      </c>
      <c r="V15" s="1">
        <f t="shared" si="1"/>
        <v>73874.200000000186</v>
      </c>
      <c r="W15" s="1">
        <f t="shared" si="1"/>
        <v>4805.7999999998137</v>
      </c>
      <c r="X15" s="1">
        <f t="shared" si="1"/>
        <v>17550.700000000186</v>
      </c>
      <c r="Y15" s="1">
        <f t="shared" si="1"/>
        <v>-607</v>
      </c>
      <c r="Z15" s="1">
        <f t="shared" si="1"/>
        <v>-2642.7000000001863</v>
      </c>
      <c r="AA15" s="1">
        <f t="shared" si="1"/>
        <v>74172.100000000559</v>
      </c>
      <c r="AB15" s="1">
        <f t="shared" si="1"/>
        <v>34074.699999999255</v>
      </c>
      <c r="AC15" s="1">
        <f t="shared" si="1"/>
        <v>27421.900000000373</v>
      </c>
      <c r="AD15" s="1">
        <f t="shared" si="1"/>
        <v>82997.799999998882</v>
      </c>
      <c r="AE15" s="1">
        <f t="shared" si="1"/>
        <v>115868.70000000112</v>
      </c>
      <c r="AF15" s="1">
        <f t="shared" si="1"/>
        <v>974.79999999981374</v>
      </c>
    </row>
    <row r="16" spans="2:33" x14ac:dyDescent="0.25">
      <c r="B16" s="10">
        <v>1000</v>
      </c>
      <c r="C16" s="10" t="s">
        <v>11</v>
      </c>
      <c r="D16" s="12" t="s">
        <v>19</v>
      </c>
      <c r="E16" t="s">
        <v>20</v>
      </c>
      <c r="G16" s="1">
        <f t="shared" ref="G16:V22" si="2">+G5-F5</f>
        <v>30307.799999999988</v>
      </c>
      <c r="H16" s="1">
        <f t="shared" si="2"/>
        <v>17543.599999999977</v>
      </c>
      <c r="I16" s="1">
        <f t="shared" si="2"/>
        <v>28028.400000000023</v>
      </c>
      <c r="J16" s="1">
        <f t="shared" si="2"/>
        <v>74236.599999999977</v>
      </c>
      <c r="K16" s="1">
        <f t="shared" si="2"/>
        <v>32581.700000000012</v>
      </c>
      <c r="L16" s="1">
        <f t="shared" si="2"/>
        <v>27841.5</v>
      </c>
      <c r="M16" s="1">
        <f t="shared" si="2"/>
        <v>83032.400000000081</v>
      </c>
      <c r="N16" s="1">
        <f t="shared" si="2"/>
        <v>39267.899999999907</v>
      </c>
      <c r="O16" s="1">
        <f t="shared" si="2"/>
        <v>-693.09999999997672</v>
      </c>
      <c r="P16" s="1">
        <f t="shared" si="2"/>
        <v>14803.800000000047</v>
      </c>
      <c r="Q16" s="1">
        <f t="shared" si="2"/>
        <v>28001.199999999953</v>
      </c>
      <c r="R16" s="1">
        <f t="shared" si="2"/>
        <v>90782.599999999977</v>
      </c>
      <c r="S16" s="1">
        <f t="shared" si="2"/>
        <v>79792.400000000023</v>
      </c>
      <c r="T16" s="1">
        <f t="shared" si="2"/>
        <v>37473.399999999907</v>
      </c>
      <c r="U16" s="1">
        <f t="shared" si="2"/>
        <v>3976.5000000002328</v>
      </c>
      <c r="V16" s="1">
        <f t="shared" si="2"/>
        <v>1336.1999999999534</v>
      </c>
      <c r="W16" s="1">
        <f t="shared" si="1"/>
        <v>3581.3000000000466</v>
      </c>
      <c r="X16" s="1">
        <f t="shared" si="1"/>
        <v>-12622.5</v>
      </c>
      <c r="Y16" s="1">
        <f t="shared" si="1"/>
        <v>4421.9999999998836</v>
      </c>
      <c r="Z16" s="1">
        <f t="shared" si="1"/>
        <v>1079.9000000000233</v>
      </c>
      <c r="AA16" s="1">
        <f t="shared" si="1"/>
        <v>-1847.8000000000466</v>
      </c>
      <c r="AB16" s="1">
        <f t="shared" si="1"/>
        <v>-210</v>
      </c>
      <c r="AC16" s="1">
        <f t="shared" si="1"/>
        <v>11415.300000000047</v>
      </c>
      <c r="AD16" s="1">
        <f t="shared" si="1"/>
        <v>-5615.6999999999534</v>
      </c>
      <c r="AE16" s="1">
        <f t="shared" si="1"/>
        <v>7612.0999999999767</v>
      </c>
      <c r="AF16" s="1">
        <f t="shared" si="1"/>
        <v>7200.0999999999767</v>
      </c>
    </row>
    <row r="17" spans="2:32" x14ac:dyDescent="0.25">
      <c r="B17" s="10">
        <v>1100</v>
      </c>
      <c r="C17" s="10" t="s">
        <v>17</v>
      </c>
      <c r="D17" s="12" t="s">
        <v>19</v>
      </c>
      <c r="E17" t="s">
        <v>20</v>
      </c>
      <c r="G17" s="1">
        <f t="shared" si="2"/>
        <v>5326.1000000000022</v>
      </c>
      <c r="H17" s="1">
        <f t="shared" si="1"/>
        <v>3512</v>
      </c>
      <c r="I17" s="1">
        <f t="shared" si="1"/>
        <v>-1153.5000000000073</v>
      </c>
      <c r="J17" s="1">
        <f t="shared" si="1"/>
        <v>3446.4000000000015</v>
      </c>
      <c r="K17" s="1">
        <f t="shared" si="1"/>
        <v>239.80000000000291</v>
      </c>
      <c r="L17" s="1">
        <f t="shared" si="1"/>
        <v>1487.6999999999971</v>
      </c>
      <c r="M17" s="1">
        <f t="shared" si="1"/>
        <v>11.69999999999709</v>
      </c>
      <c r="N17" s="1">
        <f t="shared" si="1"/>
        <v>0</v>
      </c>
      <c r="O17" s="1">
        <f t="shared" si="1"/>
        <v>-26.199999999989814</v>
      </c>
      <c r="P17" s="1">
        <f t="shared" si="1"/>
        <v>-6.8000000000029104</v>
      </c>
      <c r="Q17" s="1">
        <f t="shared" si="1"/>
        <v>-118.70000000000437</v>
      </c>
      <c r="R17" s="1">
        <f t="shared" si="1"/>
        <v>6873.5</v>
      </c>
      <c r="S17" s="1">
        <f t="shared" si="1"/>
        <v>-4.8999999999941792</v>
      </c>
      <c r="T17" s="1">
        <f t="shared" si="1"/>
        <v>-2277.0000000000073</v>
      </c>
      <c r="U17" s="1">
        <f t="shared" si="1"/>
        <v>17.099999999998545</v>
      </c>
      <c r="V17" s="1">
        <f t="shared" si="1"/>
        <v>0</v>
      </c>
      <c r="W17" s="1">
        <f t="shared" si="1"/>
        <v>-64.899999999994179</v>
      </c>
      <c r="X17" s="1">
        <f t="shared" si="1"/>
        <v>0</v>
      </c>
      <c r="Y17" s="1">
        <f t="shared" si="1"/>
        <v>0</v>
      </c>
      <c r="Z17" s="1">
        <f t="shared" si="1"/>
        <v>0</v>
      </c>
      <c r="AA17" s="1">
        <f t="shared" si="1"/>
        <v>458.19999999999709</v>
      </c>
      <c r="AB17" s="1">
        <f t="shared" si="1"/>
        <v>-2126.7999999999956</v>
      </c>
      <c r="AC17" s="1">
        <f t="shared" si="1"/>
        <v>-557.90000000000146</v>
      </c>
      <c r="AD17" s="1">
        <f t="shared" si="1"/>
        <v>-1517.1999999999971</v>
      </c>
      <c r="AE17" s="1">
        <f t="shared" si="1"/>
        <v>3276.3000000000029</v>
      </c>
      <c r="AF17" s="1">
        <f t="shared" si="1"/>
        <v>0</v>
      </c>
    </row>
    <row r="18" spans="2:32" x14ac:dyDescent="0.25">
      <c r="B18" s="10">
        <v>1300</v>
      </c>
      <c r="C18" s="10" t="s">
        <v>13</v>
      </c>
      <c r="D18" s="12" t="s">
        <v>19</v>
      </c>
      <c r="E18" t="s">
        <v>20</v>
      </c>
      <c r="G18" s="1">
        <f t="shared" si="2"/>
        <v>4552.8000000000029</v>
      </c>
      <c r="H18" s="1">
        <f t="shared" si="1"/>
        <v>5268.8000000000029</v>
      </c>
      <c r="I18" s="1">
        <f t="shared" si="1"/>
        <v>14587.5</v>
      </c>
      <c r="J18" s="1">
        <f t="shared" si="1"/>
        <v>13060.600000000006</v>
      </c>
      <c r="K18" s="1">
        <f t="shared" si="1"/>
        <v>2543.0999999999767</v>
      </c>
      <c r="L18" s="1">
        <f t="shared" si="1"/>
        <v>20042.900000000023</v>
      </c>
      <c r="M18" s="1">
        <f t="shared" si="1"/>
        <v>18001.199999999983</v>
      </c>
      <c r="N18" s="1">
        <f t="shared" si="1"/>
        <v>6322.7999999999884</v>
      </c>
      <c r="O18" s="1">
        <f t="shared" si="1"/>
        <v>3462.7999999999884</v>
      </c>
      <c r="P18" s="1">
        <f t="shared" si="1"/>
        <v>9541.2000000000116</v>
      </c>
      <c r="Q18" s="1">
        <f t="shared" si="1"/>
        <v>34092.900000000023</v>
      </c>
      <c r="R18" s="1">
        <f t="shared" si="1"/>
        <v>22032.5</v>
      </c>
      <c r="S18" s="1">
        <f t="shared" si="1"/>
        <v>13475.900000000023</v>
      </c>
      <c r="T18" s="1">
        <f t="shared" si="1"/>
        <v>28341.5</v>
      </c>
      <c r="U18" s="1">
        <f t="shared" si="1"/>
        <v>-150.20000000001164</v>
      </c>
      <c r="V18" s="1">
        <f t="shared" si="1"/>
        <v>25.700000000011642</v>
      </c>
      <c r="W18" s="1">
        <f t="shared" si="1"/>
        <v>7267.8999999999651</v>
      </c>
      <c r="X18" s="1">
        <f t="shared" si="1"/>
        <v>1537.4000000000233</v>
      </c>
      <c r="Y18" s="1">
        <f t="shared" si="1"/>
        <v>16215.599999999977</v>
      </c>
      <c r="Z18" s="1">
        <f t="shared" si="1"/>
        <v>-611.20000000001164</v>
      </c>
      <c r="AA18" s="1">
        <f t="shared" si="1"/>
        <v>807.09999999997672</v>
      </c>
      <c r="AB18" s="1">
        <f t="shared" si="1"/>
        <v>3664.9000000000233</v>
      </c>
      <c r="AC18" s="1">
        <f t="shared" si="1"/>
        <v>3620.3000000000466</v>
      </c>
      <c r="AD18" s="1">
        <f t="shared" si="1"/>
        <v>4973.1999999999534</v>
      </c>
      <c r="AE18" s="1">
        <f t="shared" si="1"/>
        <v>2621.2000000000116</v>
      </c>
      <c r="AF18" s="1">
        <f t="shared" si="1"/>
        <v>-326.70000000001164</v>
      </c>
    </row>
    <row r="19" spans="2:32" x14ac:dyDescent="0.25">
      <c r="B19" s="10">
        <v>1400</v>
      </c>
      <c r="C19" s="10" t="s">
        <v>14</v>
      </c>
      <c r="D19" s="12" t="s">
        <v>19</v>
      </c>
      <c r="E19" t="s">
        <v>20</v>
      </c>
      <c r="G19" s="1">
        <f t="shared" si="2"/>
        <v>6101.9999999999418</v>
      </c>
      <c r="H19" s="1">
        <f t="shared" si="1"/>
        <v>14578.600000000035</v>
      </c>
      <c r="I19" s="1">
        <f t="shared" si="1"/>
        <v>80473.799999999988</v>
      </c>
      <c r="J19" s="1">
        <f t="shared" si="1"/>
        <v>16660.600000000035</v>
      </c>
      <c r="K19" s="1">
        <f t="shared" si="1"/>
        <v>29784.299999999988</v>
      </c>
      <c r="L19" s="1">
        <f t="shared" si="1"/>
        <v>11802</v>
      </c>
      <c r="M19" s="1">
        <f t="shared" si="1"/>
        <v>17605.199999999953</v>
      </c>
      <c r="N19" s="1">
        <f t="shared" si="1"/>
        <v>20561.100000000093</v>
      </c>
      <c r="O19" s="1">
        <f t="shared" si="1"/>
        <v>133962.79999999993</v>
      </c>
      <c r="P19" s="1">
        <f t="shared" si="1"/>
        <v>29529.20000000007</v>
      </c>
      <c r="Q19" s="1">
        <f t="shared" si="1"/>
        <v>17195.899999999907</v>
      </c>
      <c r="R19" s="1">
        <f t="shared" si="1"/>
        <v>32587.300000000047</v>
      </c>
      <c r="S19" s="1">
        <f t="shared" si="1"/>
        <v>59031.300000000047</v>
      </c>
      <c r="T19" s="1">
        <f t="shared" si="1"/>
        <v>54041.299999999814</v>
      </c>
      <c r="U19" s="1">
        <f t="shared" si="1"/>
        <v>21747.100000000093</v>
      </c>
      <c r="V19" s="1">
        <f t="shared" si="1"/>
        <v>9208.4000000001397</v>
      </c>
      <c r="W19" s="1">
        <f t="shared" si="1"/>
        <v>7582.0999999998603</v>
      </c>
      <c r="X19" s="1">
        <f t="shared" si="1"/>
        <v>322.10000000009313</v>
      </c>
      <c r="Y19" s="1">
        <f t="shared" si="1"/>
        <v>-4555.4000000001397</v>
      </c>
      <c r="Z19" s="1">
        <f t="shared" si="1"/>
        <v>-1844.7999999999302</v>
      </c>
      <c r="AA19" s="1">
        <f t="shared" si="1"/>
        <v>-5451.5999999999767</v>
      </c>
      <c r="AB19" s="1">
        <f t="shared" si="1"/>
        <v>14563.5</v>
      </c>
      <c r="AC19" s="1">
        <f t="shared" si="1"/>
        <v>23386</v>
      </c>
      <c r="AD19" s="1">
        <f t="shared" si="1"/>
        <v>21781.199999999953</v>
      </c>
      <c r="AE19" s="1">
        <f t="shared" si="1"/>
        <v>18522.699999999953</v>
      </c>
      <c r="AF19" s="1">
        <f t="shared" si="1"/>
        <v>12608</v>
      </c>
    </row>
    <row r="20" spans="2:32" x14ac:dyDescent="0.25">
      <c r="B20" s="10">
        <v>1604</v>
      </c>
      <c r="C20" s="10" t="s">
        <v>15</v>
      </c>
      <c r="D20" s="12" t="s">
        <v>19</v>
      </c>
      <c r="E20" t="s">
        <v>20</v>
      </c>
      <c r="G20" s="1">
        <f t="shared" si="2"/>
        <v>4059.4000000000233</v>
      </c>
      <c r="H20" s="1">
        <f t="shared" si="1"/>
        <v>5112.1999999999825</v>
      </c>
      <c r="I20" s="1">
        <f t="shared" si="1"/>
        <v>9668.1000000000058</v>
      </c>
      <c r="J20" s="1">
        <f t="shared" si="1"/>
        <v>10284.600000000006</v>
      </c>
      <c r="K20" s="1">
        <f t="shared" si="1"/>
        <v>6861.2999999999884</v>
      </c>
      <c r="L20" s="1">
        <f t="shared" si="1"/>
        <v>3865.3000000000175</v>
      </c>
      <c r="M20" s="1">
        <f t="shared" si="1"/>
        <v>9997.6999999999825</v>
      </c>
      <c r="N20" s="1">
        <f t="shared" si="1"/>
        <v>15182.800000000017</v>
      </c>
      <c r="O20" s="1">
        <f t="shared" si="1"/>
        <v>16422.699999999983</v>
      </c>
      <c r="P20" s="1">
        <f t="shared" si="1"/>
        <v>1646.0000000000291</v>
      </c>
      <c r="Q20" s="1">
        <f t="shared" si="1"/>
        <v>17115.499999999942</v>
      </c>
      <c r="R20" s="1">
        <f t="shared" si="1"/>
        <v>-4426.5999999999767</v>
      </c>
      <c r="S20" s="1">
        <f t="shared" si="1"/>
        <v>5225.2999999999884</v>
      </c>
      <c r="T20" s="1">
        <f t="shared" si="1"/>
        <v>6910.9000000000233</v>
      </c>
      <c r="U20" s="1">
        <f t="shared" si="1"/>
        <v>785.5</v>
      </c>
      <c r="V20" s="1">
        <f t="shared" si="1"/>
        <v>5985.5999999999767</v>
      </c>
      <c r="W20" s="1">
        <f t="shared" si="1"/>
        <v>126.10000000003492</v>
      </c>
      <c r="X20" s="1">
        <f t="shared" si="1"/>
        <v>4155</v>
      </c>
      <c r="Y20" s="1">
        <f t="shared" si="1"/>
        <v>4720.6999999999825</v>
      </c>
      <c r="Z20" s="1">
        <f t="shared" si="1"/>
        <v>6673.3999999999942</v>
      </c>
      <c r="AA20" s="1">
        <f t="shared" si="1"/>
        <v>3022.3000000000175</v>
      </c>
      <c r="AB20" s="1">
        <f t="shared" si="1"/>
        <v>6593.6999999999825</v>
      </c>
      <c r="AC20" s="1">
        <f t="shared" si="1"/>
        <v>3642.9000000000233</v>
      </c>
      <c r="AD20" s="1">
        <f t="shared" si="1"/>
        <v>15400.5</v>
      </c>
      <c r="AE20" s="1">
        <f t="shared" si="1"/>
        <v>14135.899999999965</v>
      </c>
      <c r="AF20" s="1">
        <f t="shared" si="1"/>
        <v>5945.8000000000175</v>
      </c>
    </row>
    <row r="21" spans="2:32" x14ac:dyDescent="0.25">
      <c r="B21" s="16">
        <v>1606</v>
      </c>
      <c r="C21" s="16" t="s">
        <v>16</v>
      </c>
      <c r="D21" s="17" t="s">
        <v>19</v>
      </c>
      <c r="E21" s="18" t="s">
        <v>20</v>
      </c>
      <c r="F21" s="18"/>
      <c r="G21" s="3">
        <f t="shared" si="2"/>
        <v>388</v>
      </c>
      <c r="H21" s="3">
        <f t="shared" si="1"/>
        <v>105.29999999999927</v>
      </c>
      <c r="I21" s="3">
        <f t="shared" si="1"/>
        <v>-156.29999999999927</v>
      </c>
      <c r="J21" s="3">
        <f t="shared" si="1"/>
        <v>692.79999999999927</v>
      </c>
      <c r="K21" s="3">
        <f t="shared" si="1"/>
        <v>0</v>
      </c>
      <c r="L21" s="3">
        <f t="shared" si="1"/>
        <v>-75.899999999999636</v>
      </c>
      <c r="M21" s="3">
        <f t="shared" si="1"/>
        <v>-3128.7999999999997</v>
      </c>
      <c r="N21" s="3">
        <f t="shared" si="1"/>
        <v>-70.699999999999818</v>
      </c>
      <c r="O21" s="3">
        <f t="shared" si="1"/>
        <v>725.49999999999955</v>
      </c>
      <c r="P21" s="3">
        <f t="shared" si="1"/>
        <v>80.5</v>
      </c>
      <c r="Q21" s="3">
        <f t="shared" si="1"/>
        <v>-482</v>
      </c>
      <c r="R21" s="3">
        <f t="shared" si="1"/>
        <v>1056.7000000000007</v>
      </c>
      <c r="S21" s="3">
        <f t="shared" si="1"/>
        <v>290.79999999999927</v>
      </c>
      <c r="T21" s="3">
        <f t="shared" si="1"/>
        <v>0</v>
      </c>
      <c r="U21" s="3">
        <f t="shared" si="1"/>
        <v>0</v>
      </c>
      <c r="V21" s="3">
        <f t="shared" si="1"/>
        <v>292.40000000000055</v>
      </c>
      <c r="W21" s="3">
        <f t="shared" si="1"/>
        <v>-48</v>
      </c>
      <c r="X21" s="3">
        <f t="shared" si="1"/>
        <v>0</v>
      </c>
      <c r="Y21" s="3">
        <f t="shared" si="1"/>
        <v>0</v>
      </c>
      <c r="Z21" s="3">
        <f t="shared" si="1"/>
        <v>0</v>
      </c>
      <c r="AA21" s="3">
        <f t="shared" si="1"/>
        <v>42</v>
      </c>
      <c r="AB21" s="3">
        <f t="shared" si="1"/>
        <v>0</v>
      </c>
      <c r="AC21" s="3">
        <f t="shared" si="1"/>
        <v>169.59999999999945</v>
      </c>
      <c r="AD21" s="3">
        <f t="shared" si="1"/>
        <v>529.69999999999982</v>
      </c>
      <c r="AE21" s="3">
        <f t="shared" si="1"/>
        <v>0</v>
      </c>
      <c r="AF21" s="3">
        <f t="shared" si="1"/>
        <v>96.400000000000546</v>
      </c>
    </row>
    <row r="22" spans="2:32" x14ac:dyDescent="0.25">
      <c r="C22" s="10" t="s">
        <v>21</v>
      </c>
      <c r="D22" s="12" t="s">
        <v>19</v>
      </c>
      <c r="E22" t="s">
        <v>20</v>
      </c>
      <c r="G22" s="1">
        <f t="shared" si="2"/>
        <v>86886.299999999814</v>
      </c>
      <c r="H22" s="1">
        <f t="shared" si="1"/>
        <v>77266.499999999069</v>
      </c>
      <c r="I22" s="1">
        <f t="shared" si="1"/>
        <v>161241.90000000037</v>
      </c>
      <c r="J22" s="1">
        <f t="shared" si="1"/>
        <v>199426.90000000037</v>
      </c>
      <c r="K22" s="1">
        <f t="shared" si="1"/>
        <v>191480.20000000019</v>
      </c>
      <c r="L22" s="1">
        <f t="shared" si="1"/>
        <v>189514.39999999944</v>
      </c>
      <c r="M22" s="1">
        <f t="shared" si="1"/>
        <v>130797.10000000056</v>
      </c>
      <c r="N22" s="1">
        <f t="shared" si="1"/>
        <v>245133.90000000037</v>
      </c>
      <c r="O22" s="1">
        <f t="shared" si="1"/>
        <v>285316.9000000013</v>
      </c>
      <c r="P22" s="1">
        <f t="shared" si="1"/>
        <v>77423.599999998696</v>
      </c>
      <c r="Q22" s="1">
        <f t="shared" si="1"/>
        <v>105946.4000000013</v>
      </c>
      <c r="R22" s="1">
        <f t="shared" si="1"/>
        <v>261028.39999999758</v>
      </c>
      <c r="S22" s="1">
        <f t="shared" si="1"/>
        <v>277732.70000000112</v>
      </c>
      <c r="T22" s="1">
        <f t="shared" si="1"/>
        <v>307616.49999999907</v>
      </c>
      <c r="U22" s="1">
        <f t="shared" si="1"/>
        <v>64559.400000002235</v>
      </c>
      <c r="V22" s="1">
        <f t="shared" si="1"/>
        <v>90722.499999998137</v>
      </c>
      <c r="W22" s="1">
        <f t="shared" si="1"/>
        <v>23250.300000000745</v>
      </c>
      <c r="X22" s="1">
        <f t="shared" si="1"/>
        <v>10942.700000000186</v>
      </c>
      <c r="Y22" s="1">
        <f t="shared" si="1"/>
        <v>20195.899999999441</v>
      </c>
      <c r="Z22" s="1">
        <f t="shared" si="1"/>
        <v>2654.5999999986961</v>
      </c>
      <c r="AA22" s="1">
        <f t="shared" si="1"/>
        <v>71202.300000001676</v>
      </c>
      <c r="AB22" s="1">
        <f t="shared" si="1"/>
        <v>56559.999999999069</v>
      </c>
      <c r="AC22" s="1">
        <f t="shared" si="1"/>
        <v>69098.10000000149</v>
      </c>
      <c r="AD22" s="1">
        <f t="shared" si="1"/>
        <v>118549.49999999721</v>
      </c>
      <c r="AE22" s="1">
        <f t="shared" si="1"/>
        <v>162036.9000000013</v>
      </c>
      <c r="AF22" s="1">
        <f t="shared" si="1"/>
        <v>26498.400000000373</v>
      </c>
    </row>
    <row r="24" spans="2:32" s="15" customFormat="1" x14ac:dyDescent="0.25">
      <c r="B24" s="13" t="s">
        <v>23</v>
      </c>
      <c r="C24" s="13"/>
      <c r="D24" s="1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2:32" x14ac:dyDescent="0.25">
      <c r="B25" s="7" t="s">
        <v>2</v>
      </c>
      <c r="C25" s="7" t="s">
        <v>18</v>
      </c>
      <c r="D25" s="7" t="s">
        <v>3</v>
      </c>
      <c r="E25" s="9" t="s">
        <v>4</v>
      </c>
      <c r="F25" s="22"/>
      <c r="G25" s="9">
        <v>1995</v>
      </c>
      <c r="H25" s="9">
        <v>1996</v>
      </c>
      <c r="I25" s="9">
        <v>1997</v>
      </c>
      <c r="J25" s="9">
        <v>1998</v>
      </c>
      <c r="K25" s="9">
        <v>1999</v>
      </c>
      <c r="L25" s="9">
        <v>2000</v>
      </c>
      <c r="M25" s="9">
        <v>2001</v>
      </c>
      <c r="N25" s="9">
        <v>2002</v>
      </c>
      <c r="O25" s="9">
        <v>2003</v>
      </c>
      <c r="P25" s="9">
        <v>2004</v>
      </c>
      <c r="Q25" s="9">
        <v>2005</v>
      </c>
      <c r="R25" s="9">
        <v>2006</v>
      </c>
      <c r="S25" s="9">
        <v>2007</v>
      </c>
      <c r="T25" s="9">
        <v>2008</v>
      </c>
      <c r="U25" s="9">
        <v>2009</v>
      </c>
      <c r="V25" s="9">
        <v>2010</v>
      </c>
      <c r="W25" s="9">
        <v>2011</v>
      </c>
      <c r="X25" s="9">
        <v>2012</v>
      </c>
      <c r="Y25" s="9">
        <v>2013</v>
      </c>
      <c r="Z25" s="9">
        <v>2014</v>
      </c>
      <c r="AA25" s="9">
        <v>2015</v>
      </c>
      <c r="AB25" s="9">
        <v>2016</v>
      </c>
      <c r="AC25" s="9">
        <v>2017</v>
      </c>
      <c r="AD25" s="9">
        <v>2018</v>
      </c>
      <c r="AE25" s="9">
        <v>2019</v>
      </c>
      <c r="AF25" s="9">
        <v>2020</v>
      </c>
    </row>
    <row r="26" spans="2:32" x14ac:dyDescent="0.25">
      <c r="B26" s="6" t="s">
        <v>5</v>
      </c>
      <c r="C26" s="10" t="s">
        <v>6</v>
      </c>
      <c r="D26" s="12" t="s">
        <v>19</v>
      </c>
      <c r="E26" t="s">
        <v>20</v>
      </c>
      <c r="G26" s="20">
        <f>+G15/F4</f>
        <v>1.1173600504234195E-2</v>
      </c>
      <c r="H26" s="20">
        <f t="shared" ref="H26:AF33" si="3">+H15/G4</f>
        <v>9.5204832221426929E-3</v>
      </c>
      <c r="I26" s="20">
        <f t="shared" si="3"/>
        <v>9.021296010384117E-3</v>
      </c>
      <c r="J26" s="20">
        <f t="shared" si="3"/>
        <v>2.4320308485219124E-2</v>
      </c>
      <c r="K26" s="20">
        <f t="shared" si="3"/>
        <v>3.4999700303896986E-2</v>
      </c>
      <c r="L26" s="20">
        <f t="shared" si="3"/>
        <v>3.5254300979487868E-2</v>
      </c>
      <c r="M26" s="20">
        <f t="shared" si="3"/>
        <v>1.442988581177571E-3</v>
      </c>
      <c r="N26" s="20">
        <f t="shared" si="3"/>
        <v>4.4739530043548754E-2</v>
      </c>
      <c r="O26" s="20">
        <f t="shared" si="3"/>
        <v>3.4354647216148379E-2</v>
      </c>
      <c r="P26" s="20">
        <f t="shared" si="3"/>
        <v>5.5152122913461965E-3</v>
      </c>
      <c r="Q26" s="20">
        <f t="shared" si="3"/>
        <v>2.5481928838493951E-3</v>
      </c>
      <c r="R26" s="20">
        <f t="shared" si="3"/>
        <v>2.8100428863214223E-2</v>
      </c>
      <c r="S26" s="20">
        <f t="shared" si="3"/>
        <v>2.9233682314231599E-2</v>
      </c>
      <c r="T26" s="20">
        <f t="shared" si="3"/>
        <v>4.3373252447286577E-2</v>
      </c>
      <c r="U26" s="20">
        <f t="shared" si="3"/>
        <v>8.6677410863467974E-3</v>
      </c>
      <c r="V26" s="20">
        <f t="shared" si="3"/>
        <v>1.6625548885359411E-2</v>
      </c>
      <c r="W26" s="20">
        <f t="shared" si="3"/>
        <v>1.0638683153370977E-3</v>
      </c>
      <c r="X26" s="20">
        <f t="shared" si="3"/>
        <v>3.881100044311369E-3</v>
      </c>
      <c r="Y26" s="20">
        <f t="shared" si="3"/>
        <v>-1.3371089884144902E-4</v>
      </c>
      <c r="Z26" s="20">
        <f t="shared" si="3"/>
        <v>-5.8221589205064491E-4</v>
      </c>
      <c r="AA26" s="20">
        <f t="shared" si="3"/>
        <v>1.6350449361202161E-2</v>
      </c>
      <c r="AB26" s="20">
        <f t="shared" si="3"/>
        <v>7.3905655818101278E-3</v>
      </c>
      <c r="AC26" s="20">
        <f t="shared" si="3"/>
        <v>5.903985710847116E-3</v>
      </c>
      <c r="AD26" s="20">
        <f t="shared" si="3"/>
        <v>1.7764697096715409E-2</v>
      </c>
      <c r="AE26" s="20">
        <f t="shared" si="3"/>
        <v>2.4367444064921626E-2</v>
      </c>
      <c r="AF26" s="20">
        <f t="shared" si="3"/>
        <v>2.0012603752248516E-4</v>
      </c>
    </row>
    <row r="27" spans="2:32" x14ac:dyDescent="0.25">
      <c r="B27" s="10">
        <v>1000</v>
      </c>
      <c r="C27" s="10" t="s">
        <v>11</v>
      </c>
      <c r="D27" s="12" t="s">
        <v>19</v>
      </c>
      <c r="E27" t="s">
        <v>20</v>
      </c>
      <c r="G27" s="20">
        <f t="shared" ref="G27:V33" si="4">+G16/F5</f>
        <v>0.10463604830248395</v>
      </c>
      <c r="H27" s="20">
        <f t="shared" si="4"/>
        <v>5.4831032246470159E-2</v>
      </c>
      <c r="I27" s="20">
        <f t="shared" si="4"/>
        <v>8.3046840439927536E-2</v>
      </c>
      <c r="J27" s="20">
        <f t="shared" si="4"/>
        <v>0.20309332078532644</v>
      </c>
      <c r="K27" s="20">
        <f t="shared" si="4"/>
        <v>7.4088703062832745E-2</v>
      </c>
      <c r="L27" s="20">
        <f t="shared" si="4"/>
        <v>5.8942795965176507E-2</v>
      </c>
      <c r="M27" s="20">
        <f t="shared" si="4"/>
        <v>0.16600195166110127</v>
      </c>
      <c r="N27" s="20">
        <f t="shared" si="4"/>
        <v>6.7329284901436109E-2</v>
      </c>
      <c r="O27" s="20">
        <f t="shared" si="4"/>
        <v>-1.1134322565388671E-3</v>
      </c>
      <c r="P27" s="20">
        <f t="shared" si="4"/>
        <v>2.3808110852988149E-2</v>
      </c>
      <c r="Q27" s="20">
        <f t="shared" si="4"/>
        <v>4.3985527496609646E-2</v>
      </c>
      <c r="R27" s="20">
        <f t="shared" si="4"/>
        <v>0.13659704349147569</v>
      </c>
      <c r="S27" s="20">
        <f t="shared" si="4"/>
        <v>0.10563155883212266</v>
      </c>
      <c r="T27" s="20">
        <f t="shared" si="4"/>
        <v>4.4868839101674801E-2</v>
      </c>
      <c r="U27" s="20">
        <f t="shared" si="4"/>
        <v>4.5568102397080812E-3</v>
      </c>
      <c r="V27" s="20">
        <f t="shared" si="4"/>
        <v>1.5242525208001415E-3</v>
      </c>
      <c r="W27" s="20">
        <f t="shared" si="3"/>
        <v>4.079103141751193E-3</v>
      </c>
      <c r="X27" s="20">
        <f t="shared" si="3"/>
        <v>-1.431862894179178E-2</v>
      </c>
      <c r="Y27" s="20">
        <f t="shared" si="3"/>
        <v>5.0890678949786286E-3</v>
      </c>
      <c r="Z27" s="20">
        <f t="shared" si="3"/>
        <v>1.2365124646273428E-3</v>
      </c>
      <c r="AA27" s="20">
        <f t="shared" si="3"/>
        <v>-2.1131641848976881E-3</v>
      </c>
      <c r="AB27" s="20">
        <f t="shared" si="3"/>
        <v>-2.4066685346998626E-4</v>
      </c>
      <c r="AC27" s="20">
        <f t="shared" si="3"/>
        <v>1.3085455580258558E-2</v>
      </c>
      <c r="AD27" s="20">
        <f t="shared" si="3"/>
        <v>-6.3541774159383791E-3</v>
      </c>
      <c r="AE27" s="20">
        <f t="shared" si="3"/>
        <v>8.6681877929332147E-3</v>
      </c>
      <c r="AF27" s="20">
        <f t="shared" si="3"/>
        <v>8.1285677707667071E-3</v>
      </c>
    </row>
    <row r="28" spans="2:32" x14ac:dyDescent="0.25">
      <c r="B28" s="10">
        <v>1100</v>
      </c>
      <c r="C28" s="10" t="s">
        <v>17</v>
      </c>
      <c r="D28" s="12" t="s">
        <v>19</v>
      </c>
      <c r="E28" t="s">
        <v>20</v>
      </c>
      <c r="G28" s="20">
        <f t="shared" si="4"/>
        <v>0.21967647204395105</v>
      </c>
      <c r="H28" s="20">
        <f t="shared" si="3"/>
        <v>0.11876380138850844</v>
      </c>
      <c r="I28" s="20">
        <f t="shared" si="3"/>
        <v>-3.4866533870563314E-2</v>
      </c>
      <c r="J28" s="20">
        <f t="shared" si="3"/>
        <v>0.10793678632500053</v>
      </c>
      <c r="K28" s="20">
        <f t="shared" si="3"/>
        <v>6.7785686421945523E-3</v>
      </c>
      <c r="L28" s="20">
        <f t="shared" si="3"/>
        <v>4.1770552560646816E-2</v>
      </c>
      <c r="M28" s="20">
        <f t="shared" si="3"/>
        <v>3.1533243315348848E-4</v>
      </c>
      <c r="N28" s="20">
        <f t="shared" si="3"/>
        <v>0</v>
      </c>
      <c r="O28" s="20">
        <f t="shared" si="3"/>
        <v>-7.0590644314731394E-4</v>
      </c>
      <c r="P28" s="20">
        <f t="shared" si="3"/>
        <v>-1.8334178143510535E-4</v>
      </c>
      <c r="Q28" s="20">
        <f t="shared" si="3"/>
        <v>-3.2009794403815386E-3</v>
      </c>
      <c r="R28" s="20">
        <f t="shared" si="3"/>
        <v>0.18595270495107363</v>
      </c>
      <c r="S28" s="20">
        <f t="shared" si="3"/>
        <v>-1.1177721204808199E-4</v>
      </c>
      <c r="T28" s="20">
        <f t="shared" si="3"/>
        <v>-5.1947992690322138E-2</v>
      </c>
      <c r="U28" s="20">
        <f t="shared" si="3"/>
        <v>4.1149985681726629E-4</v>
      </c>
      <c r="V28" s="20">
        <f t="shared" si="3"/>
        <v>0</v>
      </c>
      <c r="W28" s="20">
        <f t="shared" si="3"/>
        <v>-1.5611319048213282E-3</v>
      </c>
      <c r="X28" s="20">
        <f t="shared" si="3"/>
        <v>0</v>
      </c>
      <c r="Y28" s="20">
        <f t="shared" si="3"/>
        <v>0</v>
      </c>
      <c r="Z28" s="20">
        <f t="shared" si="3"/>
        <v>0</v>
      </c>
      <c r="AA28" s="20">
        <f t="shared" si="3"/>
        <v>1.1038968861049138E-2</v>
      </c>
      <c r="AB28" s="20">
        <f t="shared" si="3"/>
        <v>-5.067948348293954E-2</v>
      </c>
      <c r="AC28" s="20">
        <f t="shared" si="3"/>
        <v>-1.4003900710110003E-2</v>
      </c>
      <c r="AD28" s="20">
        <f t="shared" si="3"/>
        <v>-3.8624271276189434E-2</v>
      </c>
      <c r="AE28" s="20">
        <f t="shared" si="3"/>
        <v>8.6757688580068812E-2</v>
      </c>
      <c r="AF28" s="20">
        <f t="shared" si="3"/>
        <v>0</v>
      </c>
    </row>
    <row r="29" spans="2:32" x14ac:dyDescent="0.25">
      <c r="B29" s="10">
        <v>1300</v>
      </c>
      <c r="C29" s="10" t="s">
        <v>13</v>
      </c>
      <c r="D29" s="12" t="s">
        <v>19</v>
      </c>
      <c r="E29" t="s">
        <v>20</v>
      </c>
      <c r="G29" s="20">
        <f t="shared" si="4"/>
        <v>4.7488614957119674E-2</v>
      </c>
      <c r="H29" s="20">
        <f t="shared" si="3"/>
        <v>5.2465441596746633E-2</v>
      </c>
      <c r="I29" s="20">
        <f t="shared" si="3"/>
        <v>0.13801765490619058</v>
      </c>
      <c r="J29" s="20">
        <f t="shared" si="3"/>
        <v>0.10858451702478794</v>
      </c>
      <c r="K29" s="20">
        <f t="shared" si="3"/>
        <v>1.9072139047900283E-2</v>
      </c>
      <c r="L29" s="20">
        <f t="shared" si="3"/>
        <v>0.14749985649545735</v>
      </c>
      <c r="M29" s="20">
        <f t="shared" si="3"/>
        <v>0.1154462566160724</v>
      </c>
      <c r="N29" s="20">
        <f t="shared" si="3"/>
        <v>3.6352910940887648E-2</v>
      </c>
      <c r="O29" s="20">
        <f t="shared" si="3"/>
        <v>1.9210978462822079E-2</v>
      </c>
      <c r="P29" s="20">
        <f t="shared" si="3"/>
        <v>5.1935101263431961E-2</v>
      </c>
      <c r="Q29" s="20">
        <f t="shared" si="3"/>
        <v>0.17641397303357079</v>
      </c>
      <c r="R29" s="20">
        <f t="shared" si="3"/>
        <v>9.6910903108890334E-2</v>
      </c>
      <c r="S29" s="20">
        <f t="shared" si="3"/>
        <v>5.4037504937234561E-2</v>
      </c>
      <c r="T29" s="20">
        <f t="shared" si="3"/>
        <v>0.10782122862521132</v>
      </c>
      <c r="U29" s="20">
        <f t="shared" si="3"/>
        <v>-5.158004230113323E-4</v>
      </c>
      <c r="V29" s="20">
        <f t="shared" si="3"/>
        <v>8.8301677010371978E-5</v>
      </c>
      <c r="W29" s="20">
        <f t="shared" si="3"/>
        <v>2.4969303275393644E-2</v>
      </c>
      <c r="X29" s="20">
        <f t="shared" si="3"/>
        <v>5.1531584799021229E-3</v>
      </c>
      <c r="Y29" s="20">
        <f t="shared" si="3"/>
        <v>5.407386386562292E-2</v>
      </c>
      <c r="Z29" s="20">
        <f t="shared" si="3"/>
        <v>-1.9336001946255014E-3</v>
      </c>
      <c r="AA29" s="20">
        <f t="shared" si="3"/>
        <v>2.5582986854128693E-3</v>
      </c>
      <c r="AB29" s="20">
        <f t="shared" si="3"/>
        <v>1.1587143705369386E-2</v>
      </c>
      <c r="AC29" s="20">
        <f t="shared" si="3"/>
        <v>1.1315025139465027E-2</v>
      </c>
      <c r="AD29" s="20">
        <f t="shared" si="3"/>
        <v>1.5369524382879394E-2</v>
      </c>
      <c r="AE29" s="20">
        <f t="shared" si="3"/>
        <v>7.9781195232608258E-3</v>
      </c>
      <c r="AF29" s="20">
        <f t="shared" si="3"/>
        <v>-9.8650299634813225E-4</v>
      </c>
    </row>
    <row r="30" spans="2:32" x14ac:dyDescent="0.25">
      <c r="B30" s="10">
        <v>1400</v>
      </c>
      <c r="C30" s="10" t="s">
        <v>14</v>
      </c>
      <c r="D30" s="12" t="s">
        <v>19</v>
      </c>
      <c r="E30" t="s">
        <v>20</v>
      </c>
      <c r="G30" s="20">
        <f t="shared" si="4"/>
        <v>1.7189085860075268E-2</v>
      </c>
      <c r="H30" s="20">
        <f t="shared" si="3"/>
        <v>4.0373342505442583E-2</v>
      </c>
      <c r="I30" s="20">
        <f t="shared" si="3"/>
        <v>0.21421218915477888</v>
      </c>
      <c r="J30" s="20">
        <f t="shared" si="3"/>
        <v>3.6524621114548433E-2</v>
      </c>
      <c r="K30" s="20">
        <f t="shared" si="3"/>
        <v>6.2994532449450358E-2</v>
      </c>
      <c r="L30" s="20">
        <f t="shared" si="3"/>
        <v>2.3482267923086719E-2</v>
      </c>
      <c r="M30" s="20">
        <f t="shared" si="3"/>
        <v>3.4225127042694807E-2</v>
      </c>
      <c r="N30" s="20">
        <f t="shared" si="3"/>
        <v>3.864874232893601E-2</v>
      </c>
      <c r="O30" s="20">
        <f t="shared" si="3"/>
        <v>0.24244014635144784</v>
      </c>
      <c r="P30" s="20">
        <f t="shared" si="3"/>
        <v>4.3012682311782471E-2</v>
      </c>
      <c r="Q30" s="20">
        <f t="shared" si="3"/>
        <v>2.4014865953227028E-2</v>
      </c>
      <c r="R30" s="20">
        <f t="shared" si="3"/>
        <v>4.4442386629793364E-2</v>
      </c>
      <c r="S30" s="20">
        <f t="shared" si="3"/>
        <v>7.7080913590451272E-2</v>
      </c>
      <c r="T30" s="20">
        <f t="shared" si="3"/>
        <v>6.5515183784824182E-2</v>
      </c>
      <c r="U30" s="20">
        <f t="shared" si="3"/>
        <v>2.4743315029182342E-2</v>
      </c>
      <c r="V30" s="20">
        <f t="shared" si="3"/>
        <v>1.0224112401727254E-2</v>
      </c>
      <c r="W30" s="20">
        <f t="shared" si="3"/>
        <v>8.3332270903021723E-3</v>
      </c>
      <c r="X30" s="20">
        <f t="shared" si="3"/>
        <v>3.510834483175333E-4</v>
      </c>
      <c r="Y30" s="20">
        <f t="shared" si="3"/>
        <v>-4.963564858126576E-3</v>
      </c>
      <c r="Z30" s="20">
        <f t="shared" si="3"/>
        <v>-2.0201214963790795E-3</v>
      </c>
      <c r="AA30" s="20">
        <f t="shared" si="3"/>
        <v>-5.981779470764571E-3</v>
      </c>
      <c r="AB30" s="20">
        <f t="shared" si="3"/>
        <v>1.6075993800749738E-2</v>
      </c>
      <c r="AC30" s="20">
        <f t="shared" si="3"/>
        <v>2.5406323552018269E-2</v>
      </c>
      <c r="AD30" s="20">
        <f t="shared" si="3"/>
        <v>2.3076593010338819E-2</v>
      </c>
      <c r="AE30" s="20">
        <f t="shared" si="3"/>
        <v>1.9181653082851063E-2</v>
      </c>
      <c r="AF30" s="20">
        <f t="shared" si="3"/>
        <v>1.2810802693113606E-2</v>
      </c>
    </row>
    <row r="31" spans="2:32" x14ac:dyDescent="0.25">
      <c r="B31" s="10">
        <v>1604</v>
      </c>
      <c r="C31" s="10" t="s">
        <v>15</v>
      </c>
      <c r="D31" s="12" t="s">
        <v>19</v>
      </c>
      <c r="E31" t="s">
        <v>20</v>
      </c>
      <c r="G31" s="20">
        <f t="shared" si="4"/>
        <v>5.7758907711527363E-2</v>
      </c>
      <c r="H31" s="20">
        <f t="shared" si="3"/>
        <v>6.8766713477855915E-2</v>
      </c>
      <c r="I31" s="20">
        <f t="shared" si="3"/>
        <v>0.12168264668346486</v>
      </c>
      <c r="J31" s="20">
        <f t="shared" si="3"/>
        <v>0.11539976324455946</v>
      </c>
      <c r="K31" s="20">
        <f t="shared" si="3"/>
        <v>6.9022927164429426E-2</v>
      </c>
      <c r="L31" s="20">
        <f t="shared" si="3"/>
        <v>3.6373337448737976E-2</v>
      </c>
      <c r="M31" s="20">
        <f t="shared" si="3"/>
        <v>9.0778669732059433E-2</v>
      </c>
      <c r="N31" s="20">
        <f t="shared" si="3"/>
        <v>0.12638599388664334</v>
      </c>
      <c r="O31" s="20">
        <f t="shared" si="3"/>
        <v>0.12136805574031197</v>
      </c>
      <c r="P31" s="20">
        <f t="shared" si="3"/>
        <v>1.0847795412951246E-2</v>
      </c>
      <c r="Q31" s="20">
        <f t="shared" si="3"/>
        <v>0.11158748196495114</v>
      </c>
      <c r="R31" s="20">
        <f t="shared" si="3"/>
        <v>-2.59628592576777E-2</v>
      </c>
      <c r="S31" s="20">
        <f t="shared" si="3"/>
        <v>3.1464291133660997E-2</v>
      </c>
      <c r="T31" s="20">
        <f t="shared" si="3"/>
        <v>4.0344759746427525E-2</v>
      </c>
      <c r="U31" s="20">
        <f t="shared" si="3"/>
        <v>4.4077954289113222E-3</v>
      </c>
      <c r="V31" s="20">
        <f t="shared" si="3"/>
        <v>3.3440507283824611E-2</v>
      </c>
      <c r="W31" s="20">
        <f t="shared" si="3"/>
        <v>6.8170232043704058E-4</v>
      </c>
      <c r="X31" s="20">
        <f t="shared" si="3"/>
        <v>2.2446816441766312E-2</v>
      </c>
      <c r="Y31" s="20">
        <f t="shared" si="3"/>
        <v>2.4943041078055821E-2</v>
      </c>
      <c r="Z31" s="20">
        <f t="shared" si="3"/>
        <v>3.4402533458363443E-2</v>
      </c>
      <c r="AA31" s="20">
        <f t="shared" si="3"/>
        <v>1.5062299000315558E-2</v>
      </c>
      <c r="AB31" s="20">
        <f t="shared" si="3"/>
        <v>3.2373539098448624E-2</v>
      </c>
      <c r="AC31" s="20">
        <f t="shared" si="3"/>
        <v>1.7324925702420769E-2</v>
      </c>
      <c r="AD31" s="20">
        <f t="shared" si="3"/>
        <v>7.1994491197790486E-2</v>
      </c>
      <c r="AE31" s="20">
        <f t="shared" si="3"/>
        <v>6.1644645063269346E-2</v>
      </c>
      <c r="AF31" s="20">
        <f t="shared" si="3"/>
        <v>2.4423225272193056E-2</v>
      </c>
    </row>
    <row r="32" spans="2:32" x14ac:dyDescent="0.25">
      <c r="B32" s="16">
        <v>1606</v>
      </c>
      <c r="C32" s="16" t="s">
        <v>16</v>
      </c>
      <c r="D32" s="17" t="s">
        <v>19</v>
      </c>
      <c r="E32" s="18" t="s">
        <v>20</v>
      </c>
      <c r="F32" s="18"/>
      <c r="G32" s="21">
        <f t="shared" si="4"/>
        <v>7.0577535243292411E-2</v>
      </c>
      <c r="H32" s="21">
        <f t="shared" si="3"/>
        <v>1.7891428085973882E-2</v>
      </c>
      <c r="I32" s="21">
        <f t="shared" si="3"/>
        <v>-2.6090004673833093E-2</v>
      </c>
      <c r="J32" s="21">
        <f t="shared" si="3"/>
        <v>0.11874196589253565</v>
      </c>
      <c r="K32" s="21">
        <f t="shared" si="3"/>
        <v>0</v>
      </c>
      <c r="L32" s="21">
        <f t="shared" si="3"/>
        <v>-1.1628085119421452E-2</v>
      </c>
      <c r="M32" s="21">
        <f t="shared" si="3"/>
        <v>-0.48498000434014321</v>
      </c>
      <c r="N32" s="21">
        <f t="shared" si="3"/>
        <v>-2.1278516824173786E-2</v>
      </c>
      <c r="O32" s="21">
        <f t="shared" si="3"/>
        <v>0.22310034133890941</v>
      </c>
      <c r="P32" s="21">
        <f t="shared" si="3"/>
        <v>2.02393523407251E-2</v>
      </c>
      <c r="Q32" s="21">
        <f t="shared" si="3"/>
        <v>-0.11878065008994801</v>
      </c>
      <c r="R32" s="21">
        <f t="shared" si="3"/>
        <v>0.29550602645487872</v>
      </c>
      <c r="S32" s="21">
        <f t="shared" si="3"/>
        <v>6.2772525147864966E-2</v>
      </c>
      <c r="T32" s="21">
        <f t="shared" si="3"/>
        <v>0</v>
      </c>
      <c r="U32" s="21">
        <f t="shared" si="3"/>
        <v>0</v>
      </c>
      <c r="V32" s="21">
        <f t="shared" si="3"/>
        <v>5.9389852540927116E-2</v>
      </c>
      <c r="W32" s="21">
        <f t="shared" si="3"/>
        <v>-9.2028068560911069E-3</v>
      </c>
      <c r="X32" s="21">
        <f t="shared" si="3"/>
        <v>0</v>
      </c>
      <c r="Y32" s="21">
        <f t="shared" si="3"/>
        <v>0</v>
      </c>
      <c r="Z32" s="21">
        <f t="shared" si="3"/>
        <v>0</v>
      </c>
      <c r="AA32" s="21">
        <f t="shared" si="3"/>
        <v>8.1272495065598509E-3</v>
      </c>
      <c r="AB32" s="21">
        <f t="shared" si="3"/>
        <v>0</v>
      </c>
      <c r="AC32" s="21">
        <f t="shared" si="3"/>
        <v>3.2554032784367817E-2</v>
      </c>
      <c r="AD32" s="21">
        <f t="shared" si="3"/>
        <v>9.8468230657694139E-2</v>
      </c>
      <c r="AE32" s="21">
        <f t="shared" si="3"/>
        <v>0</v>
      </c>
      <c r="AF32" s="21">
        <f t="shared" si="3"/>
        <v>1.6313821055660007E-2</v>
      </c>
    </row>
    <row r="33" spans="2:32" x14ac:dyDescent="0.25">
      <c r="C33" s="10" t="s">
        <v>21</v>
      </c>
      <c r="D33" s="12" t="s">
        <v>19</v>
      </c>
      <c r="E33" t="s">
        <v>20</v>
      </c>
      <c r="G33" s="20">
        <f t="shared" si="4"/>
        <v>2.1317288885756035E-2</v>
      </c>
      <c r="H33" s="20">
        <f t="shared" si="4"/>
        <v>1.8561421100057023E-2</v>
      </c>
      <c r="I33" s="20">
        <f t="shared" si="4"/>
        <v>3.8028628918280662E-2</v>
      </c>
      <c r="J33" s="20">
        <f t="shared" si="4"/>
        <v>4.5311367297612495E-2</v>
      </c>
      <c r="K33" s="20">
        <f t="shared" si="4"/>
        <v>4.1619957109405317E-2</v>
      </c>
      <c r="L33" s="20">
        <f t="shared" si="4"/>
        <v>3.9546739076565002E-2</v>
      </c>
      <c r="M33" s="20">
        <f t="shared" si="4"/>
        <v>2.6255636932214648E-2</v>
      </c>
      <c r="N33" s="20">
        <f t="shared" si="4"/>
        <v>4.7948194944365558E-2</v>
      </c>
      <c r="O33" s="20">
        <f t="shared" si="4"/>
        <v>5.3254531747274986E-2</v>
      </c>
      <c r="P33" s="20">
        <f t="shared" si="4"/>
        <v>1.3720473467943197E-2</v>
      </c>
      <c r="Q33" s="20">
        <f t="shared" si="4"/>
        <v>1.8520969806664449E-2</v>
      </c>
      <c r="R33" s="20">
        <f t="shared" si="4"/>
        <v>4.4801783802631737E-2</v>
      </c>
      <c r="S33" s="20">
        <f t="shared" si="4"/>
        <v>4.562476656406237E-2</v>
      </c>
      <c r="T33" s="20">
        <f t="shared" si="4"/>
        <v>4.8328954974299447E-2</v>
      </c>
      <c r="U33" s="20">
        <f t="shared" si="4"/>
        <v>9.6751940047292359E-3</v>
      </c>
      <c r="V33" s="20">
        <f t="shared" si="4"/>
        <v>1.346584215790202E-2</v>
      </c>
      <c r="W33" s="20">
        <f t="shared" si="3"/>
        <v>3.405163388395957E-3</v>
      </c>
      <c r="X33" s="20">
        <f t="shared" si="3"/>
        <v>1.5971935796516988E-3</v>
      </c>
      <c r="Y33" s="20">
        <f t="shared" si="3"/>
        <v>2.9430875084828678E-3</v>
      </c>
      <c r="Z33" s="20">
        <f t="shared" si="3"/>
        <v>3.85711657041267E-4</v>
      </c>
      <c r="AA33" s="20">
        <f t="shared" si="3"/>
        <v>1.0341659077945049E-2</v>
      </c>
      <c r="AB33" s="20">
        <f t="shared" si="3"/>
        <v>8.1308759361305698E-3</v>
      </c>
      <c r="AC33" s="20">
        <f t="shared" si="3"/>
        <v>9.8531960333280884E-3</v>
      </c>
      <c r="AD33" s="20">
        <f t="shared" si="3"/>
        <v>1.6739886150219329E-2</v>
      </c>
      <c r="AE33" s="20">
        <f t="shared" si="3"/>
        <v>2.2503850719453197E-2</v>
      </c>
      <c r="AF33" s="20">
        <f t="shared" si="3"/>
        <v>3.5991306474483183E-3</v>
      </c>
    </row>
    <row r="35" spans="2:32" x14ac:dyDescent="0.25">
      <c r="B35" s="13" t="s">
        <v>31</v>
      </c>
      <c r="C35" s="13"/>
      <c r="D35" s="14"/>
      <c r="E35" s="2"/>
      <c r="F35" s="2"/>
      <c r="G35" s="2"/>
      <c r="H35" s="2"/>
    </row>
    <row r="36" spans="2:32" x14ac:dyDescent="0.25">
      <c r="B36" s="7" t="s">
        <v>2</v>
      </c>
      <c r="C36" s="7" t="s">
        <v>18</v>
      </c>
      <c r="D36" s="7" t="s">
        <v>3</v>
      </c>
      <c r="E36" s="9" t="s">
        <v>4</v>
      </c>
      <c r="F36" s="22" t="s">
        <v>24</v>
      </c>
      <c r="G36" s="22" t="s">
        <v>80</v>
      </c>
      <c r="H36" s="22" t="s">
        <v>81</v>
      </c>
    </row>
    <row r="37" spans="2:32" x14ac:dyDescent="0.25">
      <c r="B37" s="6" t="s">
        <v>5</v>
      </c>
      <c r="C37" s="10" t="s">
        <v>6</v>
      </c>
      <c r="D37" s="12" t="s">
        <v>19</v>
      </c>
      <c r="E37" t="s">
        <v>20</v>
      </c>
      <c r="F37" s="1">
        <f>+AVERAGE(G15:AF15)</f>
        <v>62945.492307692315</v>
      </c>
      <c r="G37" s="1">
        <f>+AVERAGE(AC15:AF15)</f>
        <v>56815.800000000047</v>
      </c>
      <c r="H37" s="1">
        <f>+AVERAGE(K15:AF15)</f>
        <v>66293.063636363629</v>
      </c>
    </row>
    <row r="38" spans="2:32" x14ac:dyDescent="0.25">
      <c r="B38" s="10">
        <v>1000</v>
      </c>
      <c r="C38" s="10" t="s">
        <v>11</v>
      </c>
      <c r="D38" s="12" t="s">
        <v>19</v>
      </c>
      <c r="E38" t="s">
        <v>20</v>
      </c>
      <c r="F38" s="1">
        <f t="shared" ref="F38:F44" si="5">+AVERAGE(G16:AF16)</f>
        <v>23204.907692307697</v>
      </c>
      <c r="G38" s="1">
        <f>+AVERAGE(AC16:AF16)</f>
        <v>5152.9500000000116</v>
      </c>
      <c r="H38" s="1">
        <f t="shared" ref="H38:H44" si="6">+AVERAGE(K16:AF16)</f>
        <v>20600.509090909094</v>
      </c>
    </row>
    <row r="39" spans="2:32" x14ac:dyDescent="0.25">
      <c r="B39" s="10">
        <v>1100</v>
      </c>
      <c r="C39" s="10" t="s">
        <v>17</v>
      </c>
      <c r="D39" s="12" t="s">
        <v>19</v>
      </c>
      <c r="E39" t="s">
        <v>20</v>
      </c>
      <c r="F39" s="1">
        <f t="shared" si="5"/>
        <v>645.95769230769247</v>
      </c>
      <c r="G39" s="1">
        <f t="shared" ref="G39:G44" si="7">+AVERAGE(AC17:AF17)</f>
        <v>300.30000000000109</v>
      </c>
      <c r="H39" s="1">
        <f t="shared" si="6"/>
        <v>257.45000000000039</v>
      </c>
    </row>
    <row r="40" spans="2:32" x14ac:dyDescent="0.25">
      <c r="B40" s="10">
        <v>1300</v>
      </c>
      <c r="C40" s="10" t="s">
        <v>13</v>
      </c>
      <c r="D40" s="12" t="s">
        <v>19</v>
      </c>
      <c r="E40" t="s">
        <v>20</v>
      </c>
      <c r="F40" s="1">
        <f t="shared" si="5"/>
        <v>9037.373076923077</v>
      </c>
      <c r="G40" s="1">
        <f t="shared" si="7"/>
        <v>2722</v>
      </c>
      <c r="H40" s="1">
        <f t="shared" si="6"/>
        <v>8977.3636363636342</v>
      </c>
    </row>
    <row r="41" spans="2:32" x14ac:dyDescent="0.25">
      <c r="B41" s="10">
        <v>1400</v>
      </c>
      <c r="C41" s="10" t="s">
        <v>14</v>
      </c>
      <c r="D41" s="12" t="s">
        <v>19</v>
      </c>
      <c r="E41" t="s">
        <v>20</v>
      </c>
      <c r="F41" s="1">
        <f t="shared" si="5"/>
        <v>24684.026923076923</v>
      </c>
      <c r="G41" s="1">
        <f t="shared" si="7"/>
        <v>19074.474999999977</v>
      </c>
      <c r="H41" s="1">
        <f t="shared" si="6"/>
        <v>23816.804545454539</v>
      </c>
    </row>
    <row r="42" spans="2:32" x14ac:dyDescent="0.25">
      <c r="B42" s="10">
        <v>1604</v>
      </c>
      <c r="C42" s="10" t="s">
        <v>15</v>
      </c>
      <c r="D42" s="12" t="s">
        <v>19</v>
      </c>
      <c r="E42" t="s">
        <v>20</v>
      </c>
      <c r="F42" s="1">
        <f t="shared" si="5"/>
        <v>6888.9461538461537</v>
      </c>
      <c r="G42" s="1">
        <f t="shared" si="7"/>
        <v>9781.2750000000015</v>
      </c>
      <c r="H42" s="1">
        <f t="shared" si="6"/>
        <v>6817.65</v>
      </c>
    </row>
    <row r="43" spans="2:32" x14ac:dyDescent="0.25">
      <c r="B43" s="16">
        <v>1606</v>
      </c>
      <c r="C43" s="16" t="s">
        <v>16</v>
      </c>
      <c r="D43" s="17" t="s">
        <v>19</v>
      </c>
      <c r="E43" s="18" t="s">
        <v>20</v>
      </c>
      <c r="F43" s="3">
        <f t="shared" si="5"/>
        <v>19.53846153846154</v>
      </c>
      <c r="G43" s="3">
        <f t="shared" si="7"/>
        <v>198.92499999999995</v>
      </c>
      <c r="H43" s="3">
        <f t="shared" si="6"/>
        <v>-23.718181818181787</v>
      </c>
    </row>
    <row r="44" spans="2:32" x14ac:dyDescent="0.25">
      <c r="C44" s="10" t="s">
        <v>82</v>
      </c>
      <c r="D44" s="12" t="s">
        <v>19</v>
      </c>
      <c r="E44" t="s">
        <v>20</v>
      </c>
      <c r="F44" s="1">
        <f t="shared" si="5"/>
        <v>127426.2423076923</v>
      </c>
      <c r="G44" s="1">
        <f t="shared" si="7"/>
        <v>94045.725000000093</v>
      </c>
      <c r="H44" s="1">
        <f t="shared" si="6"/>
        <v>126739.12272727274</v>
      </c>
    </row>
    <row r="45" spans="2:32" x14ac:dyDescent="0.25">
      <c r="C45" s="10" t="s">
        <v>33</v>
      </c>
      <c r="D45" s="12"/>
      <c r="F45" s="19">
        <f>+F37/F44</f>
        <v>0.49397589670501102</v>
      </c>
      <c r="G45" s="19">
        <f>+G37/G44</f>
        <v>0.60412953379858558</v>
      </c>
      <c r="H45" s="19">
        <f>+H37/H44</f>
        <v>0.5230670862304948</v>
      </c>
    </row>
    <row r="47" spans="2:32" x14ac:dyDescent="0.25">
      <c r="B47" s="13" t="s">
        <v>29</v>
      </c>
      <c r="C47" s="13"/>
      <c r="D47" s="14"/>
      <c r="E47" s="2"/>
      <c r="F47" s="2"/>
      <c r="G47" s="2"/>
      <c r="H47" s="2"/>
      <c r="I47" s="2"/>
      <c r="J47" s="2"/>
    </row>
    <row r="48" spans="2:32" x14ac:dyDescent="0.25">
      <c r="B48" s="7" t="s">
        <v>2</v>
      </c>
      <c r="C48" s="7" t="s">
        <v>18</v>
      </c>
      <c r="D48" s="7" t="s">
        <v>3</v>
      </c>
      <c r="E48" s="9" t="s">
        <v>4</v>
      </c>
      <c r="F48" s="22" t="s">
        <v>24</v>
      </c>
      <c r="G48" s="22" t="s">
        <v>25</v>
      </c>
      <c r="H48" s="22" t="s">
        <v>26</v>
      </c>
      <c r="I48" s="22" t="s">
        <v>28</v>
      </c>
      <c r="J48" s="22" t="s">
        <v>27</v>
      </c>
    </row>
    <row r="49" spans="2:14" x14ac:dyDescent="0.25">
      <c r="B49" s="6" t="s">
        <v>5</v>
      </c>
      <c r="C49" s="10" t="s">
        <v>6</v>
      </c>
      <c r="D49" s="12" t="s">
        <v>19</v>
      </c>
      <c r="E49" t="s">
        <v>20</v>
      </c>
      <c r="F49" s="20">
        <f t="shared" ref="F49:F56" si="8">+AVERAGE(G26:AF26)</f>
        <v>1.5965277828448046E-2</v>
      </c>
      <c r="G49" s="20">
        <f>+AVERAGE(Q26:AF26)</f>
        <v>1.2797197243878953E-2</v>
      </c>
      <c r="H49" s="20">
        <f>+AVERAGE(X26:AF26)</f>
        <v>8.3491601229375781E-3</v>
      </c>
      <c r="I49" s="20">
        <f>+AVERAGE(N26:P26)</f>
        <v>2.8203129850347782E-2</v>
      </c>
      <c r="J49" s="20">
        <f t="shared" ref="J49:J56" si="9">+AVERAGE(U26:Y26)</f>
        <v>6.020909486502646E-3</v>
      </c>
    </row>
    <row r="50" spans="2:14" x14ac:dyDescent="0.25">
      <c r="B50" s="10">
        <v>1000</v>
      </c>
      <c r="C50" s="10" t="s">
        <v>11</v>
      </c>
      <c r="D50" s="12" t="s">
        <v>19</v>
      </c>
      <c r="E50" t="s">
        <v>20</v>
      </c>
      <c r="F50" s="20">
        <f t="shared" si="8"/>
        <v>4.5734190188185107E-2</v>
      </c>
      <c r="G50" s="20">
        <f t="shared" ref="G50:G56" si="10">+AVERAGE(Q27:AF27)</f>
        <v>2.2151518058225558E-2</v>
      </c>
      <c r="H50" s="20">
        <f t="shared" ref="H50:H56" si="11">+AVERAGE(X27:AF27)</f>
        <v>1.4645726786074017E-3</v>
      </c>
      <c r="I50" s="20">
        <f t="shared" ref="I50:I56" si="12">+AVERAGE(N27:P27)</f>
        <v>3.0007987832628463E-2</v>
      </c>
      <c r="J50" s="20">
        <f t="shared" si="9"/>
        <v>1.8612097108925281E-4</v>
      </c>
    </row>
    <row r="51" spans="2:14" x14ac:dyDescent="0.25">
      <c r="B51" s="10">
        <v>1100</v>
      </c>
      <c r="C51" s="10" t="s">
        <v>17</v>
      </c>
      <c r="D51" s="12" t="s">
        <v>19</v>
      </c>
      <c r="E51" t="s">
        <v>20</v>
      </c>
      <c r="F51" s="20">
        <f t="shared" si="8"/>
        <v>2.2442963724250229E-2</v>
      </c>
      <c r="G51" s="20">
        <f t="shared" si="10"/>
        <v>7.7519578457622999E-3</v>
      </c>
      <c r="H51" s="20">
        <f t="shared" si="11"/>
        <v>-6.1233311423567068E-4</v>
      </c>
      <c r="I51" s="20">
        <f t="shared" si="12"/>
        <v>-2.9641607486080644E-4</v>
      </c>
      <c r="J51" s="20">
        <f t="shared" si="9"/>
        <v>-2.299264096008124E-4</v>
      </c>
    </row>
    <row r="52" spans="2:14" x14ac:dyDescent="0.25">
      <c r="B52" s="10">
        <v>1300</v>
      </c>
      <c r="C52" s="10" t="s">
        <v>13</v>
      </c>
      <c r="D52" s="12" t="s">
        <v>19</v>
      </c>
      <c r="E52" t="s">
        <v>20</v>
      </c>
      <c r="F52" s="20">
        <f t="shared" si="8"/>
        <v>5.0035150620640581E-2</v>
      </c>
      <c r="G52" s="20">
        <f t="shared" si="10"/>
        <v>3.5302527801577409E-2</v>
      </c>
      <c r="H52" s="20">
        <f t="shared" si="11"/>
        <v>1.1679447843437656E-2</v>
      </c>
      <c r="I52" s="20">
        <f t="shared" si="12"/>
        <v>3.5832996889047231E-2</v>
      </c>
      <c r="J52" s="20">
        <f t="shared" si="9"/>
        <v>1.6753765374983545E-2</v>
      </c>
    </row>
    <row r="53" spans="2:14" x14ac:dyDescent="0.25">
      <c r="B53" s="10">
        <v>1400</v>
      </c>
      <c r="C53" s="10" t="s">
        <v>14</v>
      </c>
      <c r="D53" s="12" t="s">
        <v>19</v>
      </c>
      <c r="E53" t="s">
        <v>20</v>
      </c>
      <c r="F53" s="20">
        <f t="shared" si="8"/>
        <v>4.1976681741687297E-2</v>
      </c>
      <c r="G53" s="20">
        <f t="shared" si="10"/>
        <v>2.114318676510165E-2</v>
      </c>
      <c r="H53" s="20">
        <f t="shared" si="11"/>
        <v>9.3263315291243123E-3</v>
      </c>
      <c r="I53" s="20">
        <f t="shared" si="12"/>
        <v>0.10803385699738877</v>
      </c>
      <c r="J53" s="20">
        <f t="shared" si="9"/>
        <v>7.737634622280545E-3</v>
      </c>
    </row>
    <row r="54" spans="2:14" x14ac:dyDescent="0.25">
      <c r="B54" s="10">
        <v>1604</v>
      </c>
      <c r="C54" s="10" t="s">
        <v>15</v>
      </c>
      <c r="D54" s="12" t="s">
        <v>19</v>
      </c>
      <c r="E54" t="s">
        <v>20</v>
      </c>
      <c r="F54" s="20">
        <f t="shared" si="8"/>
        <v>5.0729384824449969E-2</v>
      </c>
      <c r="G54" s="20">
        <f t="shared" si="10"/>
        <v>3.1286199683322399E-2</v>
      </c>
      <c r="H54" s="20">
        <f t="shared" si="11"/>
        <v>3.3846168479180379E-2</v>
      </c>
      <c r="I54" s="20">
        <f t="shared" si="12"/>
        <v>8.6200615013302173E-2</v>
      </c>
      <c r="J54" s="20">
        <f t="shared" si="9"/>
        <v>1.718397251059902E-2</v>
      </c>
    </row>
    <row r="55" spans="2:14" x14ac:dyDescent="0.25">
      <c r="B55" s="16">
        <v>1606</v>
      </c>
      <c r="C55" s="16" t="s">
        <v>16</v>
      </c>
      <c r="D55" s="17" t="s">
        <v>19</v>
      </c>
      <c r="E55" s="18" t="s">
        <v>20</v>
      </c>
      <c r="F55" s="21">
        <f t="shared" si="8"/>
        <v>1.352778050560686E-2</v>
      </c>
      <c r="G55" s="21">
        <f t="shared" si="10"/>
        <v>2.7821767575119592E-2</v>
      </c>
      <c r="H55" s="21">
        <f t="shared" si="11"/>
        <v>1.7273703778253536E-2</v>
      </c>
      <c r="I55" s="21">
        <f t="shared" si="12"/>
        <v>7.4020392285153572E-2</v>
      </c>
      <c r="J55" s="21">
        <f t="shared" si="9"/>
        <v>1.0037409136967202E-2</v>
      </c>
    </row>
    <row r="56" spans="2:14" x14ac:dyDescent="0.25">
      <c r="C56" s="10" t="s">
        <v>21</v>
      </c>
      <c r="D56" s="12" t="s">
        <v>19</v>
      </c>
      <c r="E56" t="s">
        <v>20</v>
      </c>
      <c r="F56" s="20">
        <f t="shared" si="8"/>
        <v>2.3287750211071562E-2</v>
      </c>
      <c r="G56" s="20">
        <f t="shared" si="10"/>
        <v>1.6244829125524104E-2</v>
      </c>
      <c r="H56" s="20">
        <f t="shared" si="11"/>
        <v>8.4549545899667098E-3</v>
      </c>
      <c r="I56" s="20">
        <f t="shared" si="12"/>
        <v>3.830773338652791E-2</v>
      </c>
      <c r="J56" s="20">
        <f t="shared" si="9"/>
        <v>6.2172961278323556E-3</v>
      </c>
    </row>
    <row r="58" spans="2:14" x14ac:dyDescent="0.25">
      <c r="B58" s="13" t="s">
        <v>35</v>
      </c>
      <c r="C58" s="13"/>
      <c r="D58" s="14"/>
      <c r="E58" s="2"/>
      <c r="F58" s="2"/>
      <c r="G58" s="2"/>
      <c r="H58" s="2"/>
      <c r="I58" s="2"/>
      <c r="J58" s="2"/>
      <c r="K58" s="2"/>
      <c r="L58" s="2"/>
    </row>
    <row r="59" spans="2:14" x14ac:dyDescent="0.25">
      <c r="B59" s="7" t="s">
        <v>2</v>
      </c>
      <c r="C59" s="7" t="s">
        <v>18</v>
      </c>
      <c r="D59" s="7" t="s">
        <v>3</v>
      </c>
      <c r="E59" s="9" t="s">
        <v>4</v>
      </c>
      <c r="F59" s="22">
        <v>1995</v>
      </c>
      <c r="G59" s="22">
        <v>2000</v>
      </c>
      <c r="H59" s="22">
        <v>2005</v>
      </c>
      <c r="I59" s="22">
        <v>2010</v>
      </c>
      <c r="J59" s="22">
        <v>2015</v>
      </c>
      <c r="K59" s="22">
        <v>2020</v>
      </c>
      <c r="L59" s="26">
        <v>2025</v>
      </c>
    </row>
    <row r="60" spans="2:14" x14ac:dyDescent="0.25">
      <c r="B60" s="6" t="s">
        <v>5</v>
      </c>
      <c r="C60" s="10" t="s">
        <v>6</v>
      </c>
      <c r="D60" s="12" t="s">
        <v>19</v>
      </c>
      <c r="E60" t="s">
        <v>20</v>
      </c>
      <c r="F60" s="1">
        <f>+G4</f>
        <v>3271472.6</v>
      </c>
      <c r="G60" s="1">
        <f>+L4</f>
        <v>3657478.6999999997</v>
      </c>
      <c r="H60" s="1">
        <f>+Q4</f>
        <v>3990060.1000000006</v>
      </c>
      <c r="I60" s="1">
        <f>+V4</f>
        <v>4517288.4000000004</v>
      </c>
      <c r="J60" s="1">
        <f>+AA4</f>
        <v>4610567.3000000007</v>
      </c>
      <c r="K60" s="1">
        <f>+AF4</f>
        <v>4871905.2</v>
      </c>
      <c r="L60" s="1">
        <f>+K60+'THROUNARAÆTLUN ATV'!I28</f>
        <v>5131105.2</v>
      </c>
      <c r="M60" s="34"/>
      <c r="N60" s="34"/>
    </row>
    <row r="61" spans="2:14" x14ac:dyDescent="0.25">
      <c r="B61" s="10">
        <v>1000</v>
      </c>
      <c r="C61" s="10" t="s">
        <v>11</v>
      </c>
      <c r="D61" s="12" t="s">
        <v>19</v>
      </c>
      <c r="E61" t="s">
        <v>20</v>
      </c>
      <c r="F61" s="1">
        <f t="shared" ref="F61:F66" si="13">+G5</f>
        <v>319957.5</v>
      </c>
      <c r="G61" s="1">
        <f t="shared" ref="G61:G66" si="14">+L5</f>
        <v>500189.3</v>
      </c>
      <c r="H61" s="1">
        <f t="shared" ref="H61:H66" si="15">+Q5</f>
        <v>664601.5</v>
      </c>
      <c r="I61" s="1">
        <f t="shared" ref="I61:I66" si="16">+V5</f>
        <v>877962.60000000009</v>
      </c>
      <c r="J61" s="1">
        <f t="shared" ref="J61:J66" si="17">+AA5</f>
        <v>872575.5</v>
      </c>
      <c r="K61" s="1">
        <f t="shared" ref="K61:K66" si="18">+AF5</f>
        <v>892977.3</v>
      </c>
      <c r="L61" s="1">
        <f>+K61+'THROUNARAÆTLUN ATV'!I29</f>
        <v>912277.3</v>
      </c>
    </row>
    <row r="62" spans="2:14" x14ac:dyDescent="0.25">
      <c r="B62" s="10">
        <v>1100</v>
      </c>
      <c r="C62" s="10" t="s">
        <v>17</v>
      </c>
      <c r="D62" s="12" t="s">
        <v>19</v>
      </c>
      <c r="E62" t="s">
        <v>20</v>
      </c>
      <c r="F62" s="1">
        <f t="shared" si="13"/>
        <v>29571.300000000003</v>
      </c>
      <c r="G62" s="1">
        <f t="shared" si="14"/>
        <v>37103.699999999997</v>
      </c>
      <c r="H62" s="1">
        <f t="shared" si="15"/>
        <v>36963.699999999997</v>
      </c>
      <c r="I62" s="1">
        <f t="shared" si="16"/>
        <v>41572.399999999994</v>
      </c>
      <c r="J62" s="1">
        <f t="shared" si="17"/>
        <v>41965.7</v>
      </c>
      <c r="K62" s="1">
        <f t="shared" si="18"/>
        <v>41040.100000000006</v>
      </c>
      <c r="L62" s="1">
        <f>+K62+'THROUNARAÆTLUN ATV'!I30</f>
        <v>41040.100000000006</v>
      </c>
    </row>
    <row r="63" spans="2:14" x14ac:dyDescent="0.25">
      <c r="B63" s="10">
        <v>1300</v>
      </c>
      <c r="C63" s="10" t="s">
        <v>13</v>
      </c>
      <c r="D63" s="12" t="s">
        <v>19</v>
      </c>
      <c r="E63" t="s">
        <v>20</v>
      </c>
      <c r="F63" s="1">
        <f t="shared" si="13"/>
        <v>100424.2</v>
      </c>
      <c r="G63" s="1">
        <f t="shared" si="14"/>
        <v>155927.1</v>
      </c>
      <c r="H63" s="1">
        <f t="shared" si="15"/>
        <v>227348</v>
      </c>
      <c r="I63" s="1">
        <f t="shared" si="16"/>
        <v>291073.40000000002</v>
      </c>
      <c r="J63" s="1">
        <f t="shared" si="17"/>
        <v>316290.19999999995</v>
      </c>
      <c r="K63" s="1">
        <f t="shared" si="18"/>
        <v>330843.09999999998</v>
      </c>
      <c r="L63" s="1">
        <f>+K63+'THROUNARAÆTLUN ATV'!I31</f>
        <v>362143.1</v>
      </c>
    </row>
    <row r="64" spans="2:14" x14ac:dyDescent="0.25">
      <c r="B64" s="10">
        <v>1400</v>
      </c>
      <c r="C64" s="10" t="s">
        <v>14</v>
      </c>
      <c r="D64" s="12" t="s">
        <v>19</v>
      </c>
      <c r="E64" t="s">
        <v>20</v>
      </c>
      <c r="F64" s="1">
        <f t="shared" si="13"/>
        <v>361094.69999999995</v>
      </c>
      <c r="G64" s="1">
        <f t="shared" si="14"/>
        <v>514394</v>
      </c>
      <c r="H64" s="1">
        <f t="shared" si="15"/>
        <v>733248.2</v>
      </c>
      <c r="I64" s="1">
        <f t="shared" si="16"/>
        <v>909863.60000000009</v>
      </c>
      <c r="J64" s="1">
        <f t="shared" si="17"/>
        <v>905916</v>
      </c>
      <c r="K64" s="1">
        <f t="shared" si="18"/>
        <v>996777.39999999991</v>
      </c>
      <c r="L64" s="1">
        <f>+K64+'THROUNARAÆTLUN ATV'!I32</f>
        <v>1058777.3999999999</v>
      </c>
    </row>
    <row r="65" spans="2:14" x14ac:dyDescent="0.25">
      <c r="B65" s="10">
        <v>1604</v>
      </c>
      <c r="C65" s="10" t="s">
        <v>15</v>
      </c>
      <c r="D65" s="12" t="s">
        <v>19</v>
      </c>
      <c r="E65" t="s">
        <v>20</v>
      </c>
      <c r="F65" s="1">
        <f t="shared" si="13"/>
        <v>74341.200000000012</v>
      </c>
      <c r="G65" s="1">
        <f t="shared" si="14"/>
        <v>110132.70000000001</v>
      </c>
      <c r="H65" s="1">
        <f t="shared" si="15"/>
        <v>170497.39999999997</v>
      </c>
      <c r="I65" s="1">
        <f t="shared" si="16"/>
        <v>184978.09999999998</v>
      </c>
      <c r="J65" s="1">
        <f t="shared" si="17"/>
        <v>203675.6</v>
      </c>
      <c r="K65" s="1">
        <f t="shared" si="18"/>
        <v>249394.4</v>
      </c>
      <c r="L65" s="1">
        <f>+K65+'THROUNARAÆTLUN ATV'!I33</f>
        <v>302194.40000000002</v>
      </c>
    </row>
    <row r="66" spans="2:14" x14ac:dyDescent="0.25">
      <c r="B66" s="16">
        <v>1606</v>
      </c>
      <c r="C66" s="16" t="s">
        <v>16</v>
      </c>
      <c r="D66" s="17" t="s">
        <v>19</v>
      </c>
      <c r="E66" s="18" t="s">
        <v>20</v>
      </c>
      <c r="F66" s="3">
        <f t="shared" si="13"/>
        <v>5885.5</v>
      </c>
      <c r="G66" s="3">
        <f t="shared" si="14"/>
        <v>6451.4</v>
      </c>
      <c r="H66" s="3">
        <f t="shared" si="15"/>
        <v>3575.8999999999996</v>
      </c>
      <c r="I66" s="3">
        <f t="shared" si="16"/>
        <v>5215.8</v>
      </c>
      <c r="J66" s="3">
        <f t="shared" si="17"/>
        <v>5209.8</v>
      </c>
      <c r="K66" s="3">
        <f t="shared" si="18"/>
        <v>6005.5</v>
      </c>
      <c r="L66" s="3">
        <f>+K66+'THROUNARAÆTLUN ATV'!I34</f>
        <v>6005.5</v>
      </c>
    </row>
    <row r="67" spans="2:14" x14ac:dyDescent="0.25">
      <c r="C67" s="10" t="s">
        <v>21</v>
      </c>
      <c r="D67" s="12" t="s">
        <v>19</v>
      </c>
      <c r="E67" t="s">
        <v>20</v>
      </c>
      <c r="F67" s="1">
        <f>+SUM(F60:F66)</f>
        <v>4162747</v>
      </c>
      <c r="G67" s="1">
        <f t="shared" ref="G67:L67" si="19">+SUM(G60:G66)</f>
        <v>4981676.8999999994</v>
      </c>
      <c r="H67" s="1">
        <f t="shared" si="19"/>
        <v>5826294.8000000017</v>
      </c>
      <c r="I67" s="1">
        <f t="shared" si="19"/>
        <v>6827954.2999999998</v>
      </c>
      <c r="J67" s="1">
        <f t="shared" si="19"/>
        <v>6956200.1000000006</v>
      </c>
      <c r="K67" s="1">
        <f t="shared" si="19"/>
        <v>7388943</v>
      </c>
      <c r="L67" s="1">
        <f t="shared" si="19"/>
        <v>7813543</v>
      </c>
      <c r="M67" s="1"/>
      <c r="N67" s="19"/>
    </row>
    <row r="68" spans="2:14" x14ac:dyDescent="0.25">
      <c r="B68" s="27"/>
      <c r="C68" s="27" t="s">
        <v>37</v>
      </c>
      <c r="D68" s="28"/>
      <c r="E68" s="29"/>
      <c r="F68" s="29"/>
      <c r="G68" s="30">
        <f>+(G67-F67)/F67</f>
        <v>0.19672824219199472</v>
      </c>
      <c r="H68" s="30">
        <f t="shared" ref="H68:L68" si="20">+(H67-G67)/G67</f>
        <v>0.16954489762272668</v>
      </c>
      <c r="I68" s="30">
        <f t="shared" si="20"/>
        <v>0.17192049739741935</v>
      </c>
      <c r="J68" s="30">
        <f t="shared" si="20"/>
        <v>1.8782463145660004E-2</v>
      </c>
      <c r="K68" s="30">
        <f t="shared" si="20"/>
        <v>6.2209668177889164E-2</v>
      </c>
      <c r="L68" s="31">
        <f t="shared" si="20"/>
        <v>5.7464240825785232E-2</v>
      </c>
    </row>
    <row r="70" spans="2:14" x14ac:dyDescent="0.25">
      <c r="B70" s="13" t="s">
        <v>36</v>
      </c>
      <c r="C70" s="13"/>
      <c r="D70" s="14"/>
      <c r="E70" s="2"/>
      <c r="F70" s="2"/>
      <c r="G70" s="2"/>
      <c r="H70" s="2"/>
      <c r="I70" s="2"/>
      <c r="J70" s="2"/>
      <c r="K70" s="2"/>
      <c r="L70" s="2"/>
    </row>
    <row r="71" spans="2:14" x14ac:dyDescent="0.25">
      <c r="B71" s="7" t="s">
        <v>2</v>
      </c>
      <c r="C71" s="7" t="s">
        <v>18</v>
      </c>
      <c r="D71" s="7" t="s">
        <v>3</v>
      </c>
      <c r="E71" s="9" t="s">
        <v>4</v>
      </c>
      <c r="F71" s="22">
        <v>1995</v>
      </c>
      <c r="G71" s="22">
        <v>2000</v>
      </c>
      <c r="H71" s="22">
        <v>2005</v>
      </c>
      <c r="I71" s="22">
        <v>2010</v>
      </c>
      <c r="J71" s="22">
        <v>2015</v>
      </c>
      <c r="K71" s="22">
        <v>2020</v>
      </c>
      <c r="L71" s="26">
        <v>2025</v>
      </c>
    </row>
    <row r="72" spans="2:14" x14ac:dyDescent="0.25">
      <c r="B72" s="6" t="s">
        <v>5</v>
      </c>
      <c r="C72" s="10" t="s">
        <v>6</v>
      </c>
      <c r="D72" s="12" t="s">
        <v>19</v>
      </c>
      <c r="E72" t="s">
        <v>20</v>
      </c>
      <c r="F72" s="19">
        <f>+F60/F$67</f>
        <v>0.78589272900803242</v>
      </c>
      <c r="G72" s="19">
        <f t="shared" ref="G72:K72" si="21">+G60/G$67</f>
        <v>0.7341862536287731</v>
      </c>
      <c r="H72" s="19">
        <f t="shared" si="21"/>
        <v>0.6848366306490361</v>
      </c>
      <c r="I72" s="19">
        <f t="shared" si="21"/>
        <v>0.66158738057165978</v>
      </c>
      <c r="J72" s="19">
        <f t="shared" si="21"/>
        <v>0.66279969433311736</v>
      </c>
      <c r="K72" s="19">
        <f t="shared" si="21"/>
        <v>0.6593507623485525</v>
      </c>
      <c r="L72" s="19">
        <f t="shared" ref="L72" si="22">+L60/L$67</f>
        <v>0.65669379435167885</v>
      </c>
    </row>
    <row r="73" spans="2:14" x14ac:dyDescent="0.25">
      <c r="B73" s="10">
        <v>1000</v>
      </c>
      <c r="C73" s="10" t="s">
        <v>11</v>
      </c>
      <c r="D73" s="12" t="s">
        <v>19</v>
      </c>
      <c r="E73" t="s">
        <v>20</v>
      </c>
      <c r="F73" s="19">
        <f t="shared" ref="F73:K78" si="23">+F61/F$67</f>
        <v>7.6862105720092999E-2</v>
      </c>
      <c r="G73" s="19">
        <f t="shared" si="23"/>
        <v>0.10040580913627699</v>
      </c>
      <c r="H73" s="19">
        <f t="shared" si="23"/>
        <v>0.11406932241053093</v>
      </c>
      <c r="I73" s="19">
        <f t="shared" si="23"/>
        <v>0.12858354954133189</v>
      </c>
      <c r="J73" s="19">
        <f t="shared" si="23"/>
        <v>0.12543852785373438</v>
      </c>
      <c r="K73" s="19">
        <f t="shared" si="23"/>
        <v>0.12085318563155786</v>
      </c>
      <c r="L73" s="19">
        <f t="shared" ref="L73" si="24">+L61/L$67</f>
        <v>0.11675590701938929</v>
      </c>
    </row>
    <row r="74" spans="2:14" x14ac:dyDescent="0.25">
      <c r="B74" s="10">
        <v>1100</v>
      </c>
      <c r="C74" s="10" t="s">
        <v>17</v>
      </c>
      <c r="D74" s="12" t="s">
        <v>19</v>
      </c>
      <c r="E74" t="s">
        <v>20</v>
      </c>
      <c r="F74" s="19">
        <f t="shared" si="23"/>
        <v>7.1037946817330009E-3</v>
      </c>
      <c r="G74" s="19">
        <f t="shared" si="23"/>
        <v>7.4480342151455065E-3</v>
      </c>
      <c r="H74" s="19">
        <f t="shared" si="23"/>
        <v>6.3442893414868036E-3</v>
      </c>
      <c r="I74" s="19">
        <f t="shared" si="23"/>
        <v>6.0885586185015902E-3</v>
      </c>
      <c r="J74" s="19">
        <f t="shared" si="23"/>
        <v>6.0328483075120275E-3</v>
      </c>
      <c r="K74" s="19">
        <f t="shared" si="23"/>
        <v>5.55425857257256E-3</v>
      </c>
      <c r="L74" s="19">
        <f t="shared" ref="L74" si="25">+L62/L$67</f>
        <v>5.2524315793744279E-3</v>
      </c>
    </row>
    <row r="75" spans="2:14" x14ac:dyDescent="0.25">
      <c r="B75" s="10">
        <v>1300</v>
      </c>
      <c r="C75" s="10" t="s">
        <v>13</v>
      </c>
      <c r="D75" s="12" t="s">
        <v>19</v>
      </c>
      <c r="E75" t="s">
        <v>20</v>
      </c>
      <c r="F75" s="19">
        <f t="shared" si="23"/>
        <v>2.4124502401899513E-2</v>
      </c>
      <c r="G75" s="19">
        <f t="shared" si="23"/>
        <v>3.1300123056956994E-2</v>
      </c>
      <c r="H75" s="19">
        <f t="shared" si="23"/>
        <v>3.9021025849910636E-2</v>
      </c>
      <c r="I75" s="19">
        <f t="shared" si="23"/>
        <v>4.2629664349100878E-2</v>
      </c>
      <c r="J75" s="19">
        <f t="shared" si="23"/>
        <v>4.5468818529242699E-2</v>
      </c>
      <c r="K75" s="19">
        <f t="shared" si="23"/>
        <v>4.4775429990460067E-2</v>
      </c>
      <c r="L75" s="19">
        <f t="shared" ref="L75" si="26">+L63/L$67</f>
        <v>4.6348129139367374E-2</v>
      </c>
    </row>
    <row r="76" spans="2:14" x14ac:dyDescent="0.25">
      <c r="B76" s="10">
        <v>1400</v>
      </c>
      <c r="C76" s="10" t="s">
        <v>14</v>
      </c>
      <c r="D76" s="12" t="s">
        <v>19</v>
      </c>
      <c r="E76" t="s">
        <v>20</v>
      </c>
      <c r="F76" s="19">
        <f t="shared" si="23"/>
        <v>8.6744330126236335E-2</v>
      </c>
      <c r="G76" s="19">
        <f t="shared" si="23"/>
        <v>0.10325719839438002</v>
      </c>
      <c r="H76" s="19">
        <f t="shared" si="23"/>
        <v>0.12585154462146333</v>
      </c>
      <c r="I76" s="19">
        <f t="shared" si="23"/>
        <v>0.13325566634211364</v>
      </c>
      <c r="J76" s="19">
        <f t="shared" si="23"/>
        <v>0.13023144633231581</v>
      </c>
      <c r="K76" s="19">
        <f t="shared" si="23"/>
        <v>0.13490121658808302</v>
      </c>
      <c r="L76" s="19">
        <f t="shared" ref="L76" si="27">+L64/L$67</f>
        <v>0.13550541668485089</v>
      </c>
    </row>
    <row r="77" spans="2:14" x14ac:dyDescent="0.25">
      <c r="B77" s="10">
        <v>1604</v>
      </c>
      <c r="C77" s="10" t="s">
        <v>15</v>
      </c>
      <c r="D77" s="12" t="s">
        <v>19</v>
      </c>
      <c r="E77" t="s">
        <v>20</v>
      </c>
      <c r="F77" s="19">
        <f t="shared" si="23"/>
        <v>1.7858688024998879E-2</v>
      </c>
      <c r="G77" s="19">
        <f t="shared" si="23"/>
        <v>2.2107555791103198E-2</v>
      </c>
      <c r="H77" s="19">
        <f t="shared" si="23"/>
        <v>2.9263435142348086E-2</v>
      </c>
      <c r="I77" s="19">
        <f t="shared" si="23"/>
        <v>2.7091291457530697E-2</v>
      </c>
      <c r="J77" s="19">
        <f t="shared" si="23"/>
        <v>2.9279721266212567E-2</v>
      </c>
      <c r="K77" s="19">
        <f t="shared" si="23"/>
        <v>3.3752378384837994E-2</v>
      </c>
      <c r="L77" s="19">
        <f t="shared" ref="L77" si="28">+L65/L$67</f>
        <v>3.8675719836698923E-2</v>
      </c>
    </row>
    <row r="78" spans="2:14" x14ac:dyDescent="0.25">
      <c r="B78" s="16">
        <v>1606</v>
      </c>
      <c r="C78" s="16" t="s">
        <v>16</v>
      </c>
      <c r="D78" s="17" t="s">
        <v>19</v>
      </c>
      <c r="E78" s="18" t="s">
        <v>20</v>
      </c>
      <c r="F78" s="25">
        <f t="shared" si="23"/>
        <v>1.4138500370068131E-3</v>
      </c>
      <c r="G78" s="25">
        <f t="shared" si="23"/>
        <v>1.2950257773642446E-3</v>
      </c>
      <c r="H78" s="25">
        <f t="shared" si="23"/>
        <v>6.137519852239538E-4</v>
      </c>
      <c r="I78" s="25">
        <f t="shared" si="23"/>
        <v>7.6388911976168323E-4</v>
      </c>
      <c r="J78" s="25">
        <f t="shared" si="23"/>
        <v>7.4894337786516523E-4</v>
      </c>
      <c r="K78" s="25">
        <f t="shared" si="23"/>
        <v>8.12768483936065E-4</v>
      </c>
      <c r="L78" s="25">
        <f t="shared" ref="L78" si="29">+L66/L$67</f>
        <v>7.6860138864021099E-4</v>
      </c>
    </row>
  </sheetData>
  <conditionalFormatting sqref="M26:AF32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26:AF32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33:AF33">
    <cfRule type="colorScale" priority="5">
      <colorScale>
        <cfvo type="min"/>
        <cfvo type="max"/>
        <color rgb="FFFCFCFF"/>
        <color rgb="FF63BE7B"/>
      </colorScale>
    </cfRule>
  </conditionalFormatting>
  <conditionalFormatting sqref="G26:AF33">
    <cfRule type="colorScale" priority="4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15:AF21">
    <cfRule type="colorScale" priority="3">
      <colorScale>
        <cfvo type="min"/>
        <cfvo type="max"/>
        <color rgb="FFFCFCFF"/>
        <color rgb="FF63BE7B"/>
      </colorScale>
    </cfRule>
  </conditionalFormatting>
  <conditionalFormatting sqref="F37:H45">
    <cfRule type="colorScale" priority="2">
      <colorScale>
        <cfvo type="min"/>
        <cfvo type="max"/>
        <color rgb="FFFCFCFF"/>
        <color rgb="FF63BE7B"/>
      </colorScale>
    </cfRule>
  </conditionalFormatting>
  <conditionalFormatting sqref="F49:J56">
    <cfRule type="colorScale" priority="1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B4" numberStoredAsText="1"/>
    <ignoredError sqref="L67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46D03-9BA5-4CA3-8848-0394529BAD1D}">
  <dimension ref="B2:AG78"/>
  <sheetViews>
    <sheetView showGridLines="0" workbookViewId="0">
      <pane xSplit="5" ySplit="1" topLeftCell="F65" activePane="bottomRight" state="frozen"/>
      <selection pane="topRight" activeCell="E1" sqref="E1"/>
      <selection pane="bottomLeft" activeCell="A5" sqref="A5"/>
      <selection pane="bottomRight" activeCell="H75" sqref="H75"/>
    </sheetView>
  </sheetViews>
  <sheetFormatPr defaultRowHeight="15" x14ac:dyDescent="0.25"/>
  <cols>
    <col min="1" max="1" width="4.7109375" customWidth="1"/>
    <col min="2" max="2" width="9.140625" style="10"/>
    <col min="3" max="3" width="15.140625" style="10" bestFit="1" customWidth="1"/>
    <col min="4" max="4" width="9.140625" style="5"/>
    <col min="5" max="5" width="16.5703125" bestFit="1" customWidth="1"/>
    <col min="8" max="16" width="8.85546875" bestFit="1" customWidth="1"/>
  </cols>
  <sheetData>
    <row r="2" spans="2:33" s="15" customFormat="1" x14ac:dyDescent="0.25">
      <c r="B2" s="13" t="s">
        <v>32</v>
      </c>
      <c r="C2" s="13"/>
      <c r="D2" s="1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3" x14ac:dyDescent="0.25">
      <c r="B3" s="7" t="s">
        <v>2</v>
      </c>
      <c r="C3" s="7" t="s">
        <v>18</v>
      </c>
      <c r="D3" s="7" t="s">
        <v>3</v>
      </c>
      <c r="E3" s="9" t="s">
        <v>4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9">
        <v>2003</v>
      </c>
      <c r="P3" s="9">
        <v>2004</v>
      </c>
      <c r="Q3" s="9">
        <v>2005</v>
      </c>
      <c r="R3" s="9">
        <v>2006</v>
      </c>
      <c r="S3" s="9">
        <v>2007</v>
      </c>
      <c r="T3" s="9">
        <v>2008</v>
      </c>
      <c r="U3" s="9">
        <v>2009</v>
      </c>
      <c r="V3" s="9">
        <v>2010</v>
      </c>
      <c r="W3" s="9">
        <v>2011</v>
      </c>
      <c r="X3" s="9">
        <v>2012</v>
      </c>
      <c r="Y3" s="9">
        <v>2013</v>
      </c>
      <c r="Z3" s="9">
        <v>2014</v>
      </c>
      <c r="AA3" s="9">
        <v>2015</v>
      </c>
      <c r="AB3" s="9">
        <v>2016</v>
      </c>
      <c r="AC3" s="9">
        <v>2017</v>
      </c>
      <c r="AD3" s="9">
        <v>2018</v>
      </c>
      <c r="AE3" s="9">
        <v>2019</v>
      </c>
      <c r="AF3" s="9">
        <v>2020</v>
      </c>
    </row>
    <row r="4" spans="2:33" x14ac:dyDescent="0.25">
      <c r="B4" s="6" t="s">
        <v>5</v>
      </c>
      <c r="C4" s="10" t="s">
        <v>6</v>
      </c>
      <c r="D4" s="23">
        <v>6</v>
      </c>
      <c r="E4" t="s">
        <v>7</v>
      </c>
      <c r="F4" s="1">
        <f>SUMIFS(grunnur!F$5:F$31,grunnur!$C$5:$C$31,"Reykjavík",grunnur!$D$5:$D$31,"6")</f>
        <v>994174.5</v>
      </c>
      <c r="G4" s="1">
        <f>SUMIFS(grunnur!G$5:G$31,grunnur!$C$5:$C$31,"Reykjavík",grunnur!$D$5:$D$31,"6")</f>
        <v>1034237.5</v>
      </c>
      <c r="H4" s="1">
        <f>SUMIFS(grunnur!H$5:H$31,grunnur!$C$5:$C$31,"Reykjavík",grunnur!$D$5:$D$31,"6")</f>
        <v>1038450</v>
      </c>
      <c r="I4" s="1">
        <f>SUMIFS(grunnur!I$5:I$31,grunnur!$C$5:$C$31,"Reykjavík",grunnur!$D$5:$D$31,"6")</f>
        <v>1027868.3</v>
      </c>
      <c r="J4" s="1">
        <f>SUMIFS(grunnur!J$5:J$31,grunnur!$C$5:$C$31,"Reykjavík",grunnur!$D$5:$D$31,"6")</f>
        <v>1035518.7</v>
      </c>
      <c r="K4" s="1">
        <f>SUMIFS(grunnur!K$5:K$31,grunnur!$C$5:$C$31,"Reykjavík",grunnur!$D$5:$D$31,"6")</f>
        <v>1111084.8</v>
      </c>
      <c r="L4" s="1">
        <f>SUMIFS(grunnur!L$5:L$31,grunnur!$C$5:$C$31,"Reykjavík",grunnur!$D$5:$D$31,"6")</f>
        <v>1124568.6000000001</v>
      </c>
      <c r="M4" s="1">
        <f>SUMIFS(grunnur!M$5:M$31,grunnur!$C$5:$C$31,"Reykjavík",grunnur!$D$5:$D$31,"6")</f>
        <v>1153071.3999999999</v>
      </c>
      <c r="N4" s="1">
        <f>SUMIFS(grunnur!N$5:N$31,grunnur!$C$5:$C$31,"Reykjavík",grunnur!$D$5:$D$31,"6")</f>
        <v>1237169.8999999999</v>
      </c>
      <c r="O4" s="1">
        <f>SUMIFS(grunnur!O$5:O$31,grunnur!$C$5:$C$31,"Reykjavík",grunnur!$D$5:$D$31,"6")</f>
        <v>1256650.7</v>
      </c>
      <c r="P4" s="1">
        <f>SUMIFS(grunnur!P$5:P$31,grunnur!$C$5:$C$31,"Reykjavík",grunnur!$D$5:$D$31,"6")</f>
        <v>1264248</v>
      </c>
      <c r="Q4" s="1">
        <f>SUMIFS(grunnur!Q$5:Q$31,grunnur!$C$5:$C$31,"Reykjavík",grunnur!$D$5:$D$31,"6")</f>
        <v>1275458.1000000001</v>
      </c>
      <c r="R4" s="1">
        <f>SUMIFS(grunnur!R$5:R$31,grunnur!$C$5:$C$31,"Reykjavík",grunnur!$D$5:$D$31,"6")</f>
        <v>1341603.5</v>
      </c>
      <c r="S4" s="1">
        <f>SUMIFS(grunnur!S$5:S$31,grunnur!$C$5:$C$31,"Reykjavík",grunnur!$D$5:$D$31,"6")</f>
        <v>1434176.6</v>
      </c>
      <c r="T4" s="1">
        <f>SUMIFS(grunnur!T$5:T$31,grunnur!$C$5:$C$31,"Reykjavík",grunnur!$D$5:$D$31,"6")</f>
        <v>1507976.6</v>
      </c>
      <c r="U4" s="1">
        <f>SUMIFS(grunnur!U$5:U$31,grunnur!$C$5:$C$31,"Reykjavík",grunnur!$D$5:$D$31,"6")</f>
        <v>1513114.7</v>
      </c>
      <c r="V4" s="1">
        <f>SUMIFS(grunnur!V$5:V$31,grunnur!$C$5:$C$31,"Reykjavík",grunnur!$D$5:$D$31,"6")</f>
        <v>1514038.5</v>
      </c>
      <c r="W4" s="1">
        <f>SUMIFS(grunnur!W$5:W$31,grunnur!$C$5:$C$31,"Reykjavík",grunnur!$D$5:$D$31,"6")</f>
        <v>1517520.8</v>
      </c>
      <c r="X4" s="1">
        <f>SUMIFS(grunnur!X$5:X$31,grunnur!$C$5:$C$31,"Reykjavík",grunnur!$D$5:$D$31,"6")</f>
        <v>1525668.4</v>
      </c>
      <c r="Y4" s="1">
        <f>SUMIFS(grunnur!Y$5:Y$31,grunnur!$C$5:$C$31,"Reykjavík",grunnur!$D$5:$D$31,"6")</f>
        <v>1518501.3</v>
      </c>
      <c r="Z4" s="1">
        <f>SUMIFS(grunnur!Z$5:Z$31,grunnur!$C$5:$C$31,"Reykjavík",grunnur!$D$5:$D$31,"6")</f>
        <v>1535338.3</v>
      </c>
      <c r="AA4" s="1">
        <f>SUMIFS(grunnur!AA$5:AA$31,grunnur!$C$5:$C$31,"Reykjavík",grunnur!$D$5:$D$31,"6")</f>
        <v>1555925.6</v>
      </c>
      <c r="AB4" s="1">
        <f>SUMIFS(grunnur!AB$5:AB$31,grunnur!$C$5:$C$31,"Reykjavík",grunnur!$D$5:$D$31,"6")</f>
        <v>1570309.7</v>
      </c>
      <c r="AC4" s="1">
        <f>SUMIFS(grunnur!AC$5:AC$31,grunnur!$C$5:$C$31,"Reykjavík",grunnur!$D$5:$D$31,"6")</f>
        <v>1595969.8</v>
      </c>
      <c r="AD4" s="1">
        <f>SUMIFS(grunnur!AD$5:AD$31,grunnur!$C$5:$C$31,"Reykjavík",grunnur!$D$5:$D$31,"6")</f>
        <v>1646858.9</v>
      </c>
      <c r="AE4" s="1">
        <f>SUMIFS(grunnur!AE$5:AE$31,grunnur!$C$5:$C$31,"Reykjavík",grunnur!$D$5:$D$31,"6")</f>
        <v>1652983.1</v>
      </c>
      <c r="AF4" s="1">
        <f>SUMIFS(grunnur!AF$5:AF$31,grunnur!$C$5:$C$31,"Reykjavík",grunnur!$D$5:$D$31,"6")</f>
        <v>1672381.9</v>
      </c>
    </row>
    <row r="5" spans="2:33" x14ac:dyDescent="0.25">
      <c r="B5" s="10">
        <v>1000</v>
      </c>
      <c r="C5" s="10" t="s">
        <v>11</v>
      </c>
      <c r="D5" s="23">
        <v>6</v>
      </c>
      <c r="E5" t="s">
        <v>7</v>
      </c>
      <c r="F5" s="1">
        <f>SUMIFS(grunnur!F$5:F$31,grunnur!$C$5:$C$31,"Kópavogur",grunnur!$D$5:$D$31,"6")</f>
        <v>54217.3</v>
      </c>
      <c r="G5" s="1">
        <f>SUMIFS(grunnur!G$5:G$31,grunnur!$C$5:$C$31,"Kópavogur",grunnur!$D$5:$D$31,"6")</f>
        <v>58244.3</v>
      </c>
      <c r="H5" s="1">
        <f>SUMIFS(grunnur!H$5:H$31,grunnur!$C$5:$C$31,"Kópavogur",grunnur!$D$5:$D$31,"6")</f>
        <v>64152.800000000003</v>
      </c>
      <c r="I5" s="1">
        <f>SUMIFS(grunnur!I$5:I$31,grunnur!$C$5:$C$31,"Kópavogur",grunnur!$D$5:$D$31,"6")</f>
        <v>71224.5</v>
      </c>
      <c r="J5" s="1">
        <f>SUMIFS(grunnur!J$5:J$31,grunnur!$C$5:$C$31,"Kópavogur",grunnur!$D$5:$D$31,"6")</f>
        <v>111914.6</v>
      </c>
      <c r="K5" s="1">
        <f>SUMIFS(grunnur!K$5:K$31,grunnur!$C$5:$C$31,"Kópavogur",grunnur!$D$5:$D$31,"6")</f>
        <v>123579.3</v>
      </c>
      <c r="L5" s="1">
        <f>SUMIFS(grunnur!L$5:L$31,grunnur!$C$5:$C$31,"Kópavogur",grunnur!$D$5:$D$31,"6")</f>
        <v>133835.4</v>
      </c>
      <c r="M5" s="1">
        <f>SUMIFS(grunnur!M$5:M$31,grunnur!$C$5:$C$31,"Kópavogur",grunnur!$D$5:$D$31,"6")</f>
        <v>208637.2</v>
      </c>
      <c r="N5" s="1">
        <f>SUMIFS(grunnur!N$5:N$31,grunnur!$C$5:$C$31,"Kópavogur",grunnur!$D$5:$D$31,"6")</f>
        <v>206103.8</v>
      </c>
      <c r="O5" s="1">
        <f>SUMIFS(grunnur!O$5:O$31,grunnur!$C$5:$C$31,"Kópavogur",grunnur!$D$5:$D$31,"6")</f>
        <v>216046.7</v>
      </c>
      <c r="P5" s="1">
        <f>SUMIFS(grunnur!P$5:P$31,grunnur!$C$5:$C$31,"Kópavogur",grunnur!$D$5:$D$31,"6")</f>
        <v>222324.1</v>
      </c>
      <c r="Q5" s="1">
        <f>SUMIFS(grunnur!Q$5:Q$31,grunnur!$C$5:$C$31,"Kópavogur",grunnur!$D$5:$D$31,"6")</f>
        <v>229116.4</v>
      </c>
      <c r="R5" s="1">
        <f>SUMIFS(grunnur!R$5:R$31,grunnur!$C$5:$C$31,"Kópavogur",grunnur!$D$5:$D$31,"6")</f>
        <v>296104.5</v>
      </c>
      <c r="S5" s="1">
        <f>SUMIFS(grunnur!S$5:S$31,grunnur!$C$5:$C$31,"Kópavogur",grunnur!$D$5:$D$31,"6")</f>
        <v>338493.1</v>
      </c>
      <c r="T5" s="1">
        <f>SUMIFS(grunnur!T$5:T$31,grunnur!$C$5:$C$31,"Kópavogur",grunnur!$D$5:$D$31,"6")</f>
        <v>365415.1</v>
      </c>
      <c r="U5" s="1">
        <f>SUMIFS(grunnur!U$5:U$31,grunnur!$C$5:$C$31,"Kópavogur",grunnur!$D$5:$D$31,"6")</f>
        <v>364675.7</v>
      </c>
      <c r="V5" s="1">
        <f>SUMIFS(grunnur!V$5:V$31,grunnur!$C$5:$C$31,"Kópavogur",grunnur!$D$5:$D$31,"6")</f>
        <v>365202.6</v>
      </c>
      <c r="W5" s="1">
        <f>SUMIFS(grunnur!W$5:W$31,grunnur!$C$5:$C$31,"Kópavogur",grunnur!$D$5:$D$31,"6")</f>
        <v>368005.2</v>
      </c>
      <c r="X5" s="1">
        <f>SUMIFS(grunnur!X$5:X$31,grunnur!$C$5:$C$31,"Kópavogur",grunnur!$D$5:$D$31,"6")</f>
        <v>362243.4</v>
      </c>
      <c r="Y5" s="1">
        <f>SUMIFS(grunnur!Y$5:Y$31,grunnur!$C$5:$C$31,"Kópavogur",grunnur!$D$5:$D$31,"6")</f>
        <v>365646.9</v>
      </c>
      <c r="Z5" s="1">
        <f>SUMIFS(grunnur!Z$5:Z$31,grunnur!$C$5:$C$31,"Kópavogur",grunnur!$D$5:$D$31,"6")</f>
        <v>364367</v>
      </c>
      <c r="AA5" s="1">
        <f>SUMIFS(grunnur!AA$5:AA$31,grunnur!$C$5:$C$31,"Kópavogur",grunnur!$D$5:$D$31,"6")</f>
        <v>364405.5</v>
      </c>
      <c r="AB5" s="1">
        <f>SUMIFS(grunnur!AB$5:AB$31,grunnur!$C$5:$C$31,"Kópavogur",grunnur!$D$5:$D$31,"6")</f>
        <v>382918.8</v>
      </c>
      <c r="AC5" s="1">
        <f>SUMIFS(grunnur!AC$5:AC$31,grunnur!$C$5:$C$31,"Kópavogur",grunnur!$D$5:$D$31,"6")</f>
        <v>378172.2</v>
      </c>
      <c r="AD5" s="1">
        <f>SUMIFS(grunnur!AD$5:AD$31,grunnur!$C$5:$C$31,"Kópavogur",grunnur!$D$5:$D$31,"6")</f>
        <v>375142.7</v>
      </c>
      <c r="AE5" s="1">
        <f>SUMIFS(grunnur!AE$5:AE$31,grunnur!$C$5:$C$31,"Kópavogur",grunnur!$D$5:$D$31,"6")</f>
        <v>374894.1</v>
      </c>
      <c r="AF5" s="1">
        <f>SUMIFS(grunnur!AF$5:AF$31,grunnur!$C$5:$C$31,"Kópavogur",grunnur!$D$5:$D$31,"6")</f>
        <v>380497.7</v>
      </c>
    </row>
    <row r="6" spans="2:33" x14ac:dyDescent="0.25">
      <c r="B6" s="10">
        <v>1100</v>
      </c>
      <c r="C6" s="10" t="s">
        <v>17</v>
      </c>
      <c r="D6" s="23">
        <v>6</v>
      </c>
      <c r="E6" t="s">
        <v>7</v>
      </c>
      <c r="F6" s="1">
        <f>SUMIFS(grunnur!F$5:F$31,grunnur!$C$5:$C$31,"Seltjarnarnesbær",grunnur!$D$5:$D$31,"6")</f>
        <v>6724.6</v>
      </c>
      <c r="G6" s="1">
        <f>SUMIFS(grunnur!G$5:G$31,grunnur!$C$5:$C$31,"Seltjarnarnesbær",grunnur!$D$5:$D$31,"6")</f>
        <v>10306.5</v>
      </c>
      <c r="H6" s="1">
        <f>SUMIFS(grunnur!H$5:H$31,grunnur!$C$5:$C$31,"Seltjarnarnesbær",grunnur!$D$5:$D$31,"6")</f>
        <v>10401.9</v>
      </c>
      <c r="I6" s="1">
        <f>SUMIFS(grunnur!I$5:I$31,grunnur!$C$5:$C$31,"Seltjarnarnesbær",grunnur!$D$5:$D$31,"6")</f>
        <v>10401.9</v>
      </c>
      <c r="J6" s="1">
        <f>SUMIFS(grunnur!J$5:J$31,grunnur!$C$5:$C$31,"Seltjarnarnesbær",grunnur!$D$5:$D$31,"6")</f>
        <v>10401.9</v>
      </c>
      <c r="K6" s="1">
        <f>SUMIFS(grunnur!K$5:K$31,grunnur!$C$5:$C$31,"Seltjarnarnesbær",grunnur!$D$5:$D$31,"6")</f>
        <v>10440.5</v>
      </c>
      <c r="L6" s="1">
        <f>SUMIFS(grunnur!L$5:L$31,grunnur!$C$5:$C$31,"Seltjarnarnesbær",grunnur!$D$5:$D$31,"6")</f>
        <v>11771.9</v>
      </c>
      <c r="M6" s="1">
        <f>SUMIFS(grunnur!M$5:M$31,grunnur!$C$5:$C$31,"Seltjarnarnesbær",grunnur!$D$5:$D$31,"6")</f>
        <v>11771.9</v>
      </c>
      <c r="N6" s="1">
        <f>SUMIFS(grunnur!N$5:N$31,grunnur!$C$5:$C$31,"Seltjarnarnesbær",grunnur!$D$5:$D$31,"6")</f>
        <v>11771.9</v>
      </c>
      <c r="O6" s="1">
        <f>SUMIFS(grunnur!O$5:O$31,grunnur!$C$5:$C$31,"Seltjarnarnesbær",grunnur!$D$5:$D$31,"6")</f>
        <v>11578.5</v>
      </c>
      <c r="P6" s="1">
        <f>SUMIFS(grunnur!P$5:P$31,grunnur!$C$5:$C$31,"Seltjarnarnesbær",grunnur!$D$5:$D$31,"6")</f>
        <v>11578.5</v>
      </c>
      <c r="Q6" s="1">
        <f>SUMIFS(grunnur!Q$5:Q$31,grunnur!$C$5:$C$31,"Seltjarnarnesbær",grunnur!$D$5:$D$31,"6")</f>
        <v>11459.8</v>
      </c>
      <c r="R6" s="1">
        <f>SUMIFS(grunnur!R$5:R$31,grunnur!$C$5:$C$31,"Seltjarnarnesbær",grunnur!$D$5:$D$31,"6")</f>
        <v>11037.4</v>
      </c>
      <c r="S6" s="1">
        <f>SUMIFS(grunnur!S$5:S$31,grunnur!$C$5:$C$31,"Seltjarnarnesbær",grunnur!$D$5:$D$31,"6")</f>
        <v>11099.8</v>
      </c>
      <c r="T6" s="1">
        <f>SUMIFS(grunnur!T$5:T$31,grunnur!$C$5:$C$31,"Seltjarnarnesbær",grunnur!$D$5:$D$31,"6")</f>
        <v>11099.8</v>
      </c>
      <c r="U6" s="1">
        <f>SUMIFS(grunnur!U$5:U$31,grunnur!$C$5:$C$31,"Seltjarnarnesbær",grunnur!$D$5:$D$31,"6")</f>
        <v>11099.8</v>
      </c>
      <c r="V6" s="1">
        <f>SUMIFS(grunnur!V$5:V$31,grunnur!$C$5:$C$31,"Seltjarnarnesbær",grunnur!$D$5:$D$31,"6")</f>
        <v>11099.8</v>
      </c>
      <c r="W6" s="1">
        <f>SUMIFS(grunnur!W$5:W$31,grunnur!$C$5:$C$31,"Seltjarnarnesbær",grunnur!$D$5:$D$31,"6")</f>
        <v>11099.8</v>
      </c>
      <c r="X6" s="1">
        <f>SUMIFS(grunnur!X$5:X$31,grunnur!$C$5:$C$31,"Seltjarnarnesbær",grunnur!$D$5:$D$31,"6")</f>
        <v>11099.8</v>
      </c>
      <c r="Y6" s="1">
        <f>SUMIFS(grunnur!Y$5:Y$31,grunnur!$C$5:$C$31,"Seltjarnarnesbær",grunnur!$D$5:$D$31,"6")</f>
        <v>11099.8</v>
      </c>
      <c r="Z6" s="1">
        <f>SUMIFS(grunnur!Z$5:Z$31,grunnur!$C$5:$C$31,"Seltjarnarnesbær",grunnur!$D$5:$D$31,"6")</f>
        <v>11099.8</v>
      </c>
      <c r="AA6" s="1">
        <f>SUMIFS(grunnur!AA$5:AA$31,grunnur!$C$5:$C$31,"Seltjarnarnesbær",grunnur!$D$5:$D$31,"6")</f>
        <v>11099.8</v>
      </c>
      <c r="AB6" s="1">
        <f>SUMIFS(grunnur!AB$5:AB$31,grunnur!$C$5:$C$31,"Seltjarnarnesbær",grunnur!$D$5:$D$31,"6")</f>
        <v>10897.3</v>
      </c>
      <c r="AC6" s="1">
        <f>SUMIFS(grunnur!AC$5:AC$31,grunnur!$C$5:$C$31,"Seltjarnarnesbær",grunnur!$D$5:$D$31,"6")</f>
        <v>10657.4</v>
      </c>
      <c r="AD6" s="1">
        <f>SUMIFS(grunnur!AD$5:AD$31,grunnur!$C$5:$C$31,"Seltjarnarnesbær",grunnur!$D$5:$D$31,"6")</f>
        <v>10657.4</v>
      </c>
      <c r="AE6" s="1">
        <f>SUMIFS(grunnur!AE$5:AE$31,grunnur!$C$5:$C$31,"Seltjarnarnesbær",grunnur!$D$5:$D$31,"6")</f>
        <v>10612.5</v>
      </c>
      <c r="AF6" s="1">
        <f>SUMIFS(grunnur!AF$5:AF$31,grunnur!$C$5:$C$31,"Seltjarnarnesbær",grunnur!$D$5:$D$31,"6")</f>
        <v>10612.5</v>
      </c>
      <c r="AG6" s="1"/>
    </row>
    <row r="7" spans="2:33" x14ac:dyDescent="0.25">
      <c r="B7" s="10">
        <v>1300</v>
      </c>
      <c r="C7" s="10" t="s">
        <v>13</v>
      </c>
      <c r="D7" s="23">
        <v>6</v>
      </c>
      <c r="E7" t="s">
        <v>7</v>
      </c>
      <c r="F7" s="1">
        <f>SUMIFS(grunnur!F$5:F$31,grunnur!$C$5:$C$31,"Garðabær",grunnur!$D$5:$D$31,"6")</f>
        <v>14952.6</v>
      </c>
      <c r="G7" s="1">
        <f>SUMIFS(grunnur!G$5:G$31,grunnur!$C$5:$C$31,"Garðabær",grunnur!$D$5:$D$31,"6")</f>
        <v>17807.5</v>
      </c>
      <c r="H7" s="1">
        <f>SUMIFS(grunnur!H$5:H$31,grunnur!$C$5:$C$31,"Garðabær",grunnur!$D$5:$D$31,"6")</f>
        <v>16679.2</v>
      </c>
      <c r="I7" s="1">
        <f>SUMIFS(grunnur!I$5:I$31,grunnur!$C$5:$C$31,"Garðabær",grunnur!$D$5:$D$31,"6")</f>
        <v>17950.599999999999</v>
      </c>
      <c r="J7" s="1">
        <f>SUMIFS(grunnur!J$5:J$31,grunnur!$C$5:$C$31,"Garðabær",grunnur!$D$5:$D$31,"6")</f>
        <v>17950.599999999999</v>
      </c>
      <c r="K7" s="1">
        <f>SUMIFS(grunnur!K$5:K$31,grunnur!$C$5:$C$31,"Garðabær",grunnur!$D$5:$D$31,"6")</f>
        <v>18107.8</v>
      </c>
      <c r="L7" s="1">
        <f>SUMIFS(grunnur!L$5:L$31,grunnur!$C$5:$C$31,"Garðabær",grunnur!$D$5:$D$31,"6")</f>
        <v>25896.799999999999</v>
      </c>
      <c r="M7" s="1">
        <f>SUMIFS(grunnur!M$5:M$31,grunnur!$C$5:$C$31,"Garðabær",grunnur!$D$5:$D$31,"6")</f>
        <v>26191.200000000001</v>
      </c>
      <c r="N7" s="1">
        <f>SUMIFS(grunnur!N$5:N$31,grunnur!$C$5:$C$31,"Garðabær",grunnur!$D$5:$D$31,"6")</f>
        <v>25847.9</v>
      </c>
      <c r="O7" s="1">
        <f>SUMIFS(grunnur!O$5:O$31,grunnur!$C$5:$C$31,"Garðabær",grunnur!$D$5:$D$31,"6")</f>
        <v>25785.4</v>
      </c>
      <c r="P7" s="1">
        <f>SUMIFS(grunnur!P$5:P$31,grunnur!$C$5:$C$31,"Garðabær",grunnur!$D$5:$D$31,"6")</f>
        <v>26348.5</v>
      </c>
      <c r="Q7" s="1">
        <f>SUMIFS(grunnur!Q$5:Q$31,grunnur!$C$5:$C$31,"Garðabær",grunnur!$D$5:$D$31,"6")</f>
        <v>46870.2</v>
      </c>
      <c r="R7" s="1">
        <f>SUMIFS(grunnur!R$5:R$31,grunnur!$C$5:$C$31,"Garðabær",grunnur!$D$5:$D$31,"6")</f>
        <v>62321.9</v>
      </c>
      <c r="S7" s="1">
        <f>SUMIFS(grunnur!S$5:S$31,grunnur!$C$5:$C$31,"Garðabær",grunnur!$D$5:$D$31,"6")</f>
        <v>72822.2</v>
      </c>
      <c r="T7" s="1">
        <f>SUMIFS(grunnur!T$5:T$31,grunnur!$C$5:$C$31,"Garðabær",grunnur!$D$5:$D$31,"6")</f>
        <v>96313.3</v>
      </c>
      <c r="U7" s="1">
        <f>SUMIFS(grunnur!U$5:U$31,grunnur!$C$5:$C$31,"Garðabær",grunnur!$D$5:$D$31,"6")</f>
        <v>96313.3</v>
      </c>
      <c r="V7" s="1">
        <f>SUMIFS(grunnur!V$5:V$31,grunnur!$C$5:$C$31,"Garðabær",grunnur!$D$5:$D$31,"6")</f>
        <v>96313.3</v>
      </c>
      <c r="W7" s="1">
        <f>SUMIFS(grunnur!W$5:W$31,grunnur!$C$5:$C$31,"Garðabær",grunnur!$D$5:$D$31,"6")</f>
        <v>96313.3</v>
      </c>
      <c r="X7" s="1">
        <f>SUMIFS(grunnur!X$5:X$31,grunnur!$C$5:$C$31,"Garðabær",grunnur!$D$5:$D$31,"6")</f>
        <v>96268.9</v>
      </c>
      <c r="Y7" s="1">
        <f>SUMIFS(grunnur!Y$5:Y$31,grunnur!$C$5:$C$31,"Garðabær",grunnur!$D$5:$D$31,"6")</f>
        <v>96561.9</v>
      </c>
      <c r="Z7" s="1">
        <f>SUMIFS(grunnur!Z$5:Z$31,grunnur!$C$5:$C$31,"Garðabær",grunnur!$D$5:$D$31,"6")</f>
        <v>97327.5</v>
      </c>
      <c r="AA7" s="1">
        <f>SUMIFS(grunnur!AA$5:AA$31,grunnur!$C$5:$C$31,"Garðabær",grunnur!$D$5:$D$31,"6")</f>
        <v>97328.5</v>
      </c>
      <c r="AB7" s="1">
        <f>SUMIFS(grunnur!AB$5:AB$31,grunnur!$C$5:$C$31,"Garðabær",grunnur!$D$5:$D$31,"6")</f>
        <v>100993.4</v>
      </c>
      <c r="AC7" s="1">
        <f>SUMIFS(grunnur!AC$5:AC$31,grunnur!$C$5:$C$31,"Garðabær",grunnur!$D$5:$D$31,"6")</f>
        <v>102761.60000000001</v>
      </c>
      <c r="AD7" s="1">
        <f>SUMIFS(grunnur!AD$5:AD$31,grunnur!$C$5:$C$31,"Garðabær",grunnur!$D$5:$D$31,"6")</f>
        <v>104528</v>
      </c>
      <c r="AE7" s="1">
        <f>SUMIFS(grunnur!AE$5:AE$31,grunnur!$C$5:$C$31,"Garðabær",grunnur!$D$5:$D$31,"6")</f>
        <v>106709.6</v>
      </c>
      <c r="AF7" s="1">
        <f>SUMIFS(grunnur!AF$5:AF$31,grunnur!$C$5:$C$31,"Garðabær",grunnur!$D$5:$D$31,"6")</f>
        <v>106382.9</v>
      </c>
    </row>
    <row r="8" spans="2:33" x14ac:dyDescent="0.25">
      <c r="B8" s="10">
        <v>1400</v>
      </c>
      <c r="C8" s="10" t="s">
        <v>14</v>
      </c>
      <c r="D8" s="23">
        <v>6</v>
      </c>
      <c r="E8" t="s">
        <v>7</v>
      </c>
      <c r="F8" s="1">
        <f>SUMIFS(grunnur!F$5:F$31,grunnur!$C$5:$C$31,"Hafnarfjörður",grunnur!$D$5:$D$31,"6")</f>
        <v>56811.3</v>
      </c>
      <c r="G8" s="1">
        <f>SUMIFS(grunnur!G$5:G$31,grunnur!$C$5:$C$31,"Hafnarfjörður",grunnur!$D$5:$D$31,"6")</f>
        <v>63255.9</v>
      </c>
      <c r="H8" s="1">
        <f>SUMIFS(grunnur!H$5:H$31,grunnur!$C$5:$C$31,"Hafnarfjörður",grunnur!$D$5:$D$31,"6")</f>
        <v>75444.2</v>
      </c>
      <c r="I8" s="1">
        <f>SUMIFS(grunnur!I$5:I$31,grunnur!$C$5:$C$31,"Hafnarfjörður",grunnur!$D$5:$D$31,"6")</f>
        <v>76619.100000000006</v>
      </c>
      <c r="J8" s="1">
        <f>SUMIFS(grunnur!J$5:J$31,grunnur!$C$5:$C$31,"Hafnarfjörður",grunnur!$D$5:$D$31,"6")</f>
        <v>80661</v>
      </c>
      <c r="K8" s="1">
        <f>SUMIFS(grunnur!K$5:K$31,grunnur!$C$5:$C$31,"Hafnarfjörður",grunnur!$D$5:$D$31,"6")</f>
        <v>83491.8</v>
      </c>
      <c r="L8" s="1">
        <f>SUMIFS(grunnur!L$5:L$31,grunnur!$C$5:$C$31,"Hafnarfjörður",grunnur!$D$5:$D$31,"6")</f>
        <v>85587.9</v>
      </c>
      <c r="M8" s="1">
        <f>SUMIFS(grunnur!M$5:M$31,grunnur!$C$5:$C$31,"Hafnarfjörður",grunnur!$D$5:$D$31,"6")</f>
        <v>89910.8</v>
      </c>
      <c r="N8" s="1">
        <f>SUMIFS(grunnur!N$5:N$31,grunnur!$C$5:$C$31,"Hafnarfjörður",grunnur!$D$5:$D$31,"6")</f>
        <v>93792.4</v>
      </c>
      <c r="O8" s="1">
        <f>SUMIFS(grunnur!O$5:O$31,grunnur!$C$5:$C$31,"Hafnarfjörður",grunnur!$D$5:$D$31,"6")</f>
        <v>94102.7</v>
      </c>
      <c r="P8" s="1">
        <f>SUMIFS(grunnur!P$5:P$31,grunnur!$C$5:$C$31,"Hafnarfjörður",grunnur!$D$5:$D$31,"6")</f>
        <v>105487.9</v>
      </c>
      <c r="Q8" s="1">
        <f>SUMIFS(grunnur!Q$5:Q$31,grunnur!$C$5:$C$31,"Hafnarfjörður",grunnur!$D$5:$D$31,"6")</f>
        <v>105264.1</v>
      </c>
      <c r="R8" s="1">
        <f>SUMIFS(grunnur!R$5:R$31,grunnur!$C$5:$C$31,"Hafnarfjörður",grunnur!$D$5:$D$31,"6")</f>
        <v>110344.7</v>
      </c>
      <c r="S8" s="1">
        <f>SUMIFS(grunnur!S$5:S$31,grunnur!$C$5:$C$31,"Hafnarfjörður",grunnur!$D$5:$D$31,"6")</f>
        <v>121450.3</v>
      </c>
      <c r="T8" s="1">
        <f>SUMIFS(grunnur!T$5:T$31,grunnur!$C$5:$C$31,"Hafnarfjörður",grunnur!$D$5:$D$31,"6")</f>
        <v>149231.9</v>
      </c>
      <c r="U8" s="1">
        <f>SUMIFS(grunnur!U$5:U$31,grunnur!$C$5:$C$31,"Hafnarfjörður",grunnur!$D$5:$D$31,"6")</f>
        <v>159499.6</v>
      </c>
      <c r="V8" s="1">
        <f>SUMIFS(grunnur!V$5:V$31,grunnur!$C$5:$C$31,"Hafnarfjörður",grunnur!$D$5:$D$31,"6")</f>
        <v>159480.5</v>
      </c>
      <c r="W8" s="1">
        <f>SUMIFS(grunnur!W$5:W$31,grunnur!$C$5:$C$31,"Hafnarfjörður",grunnur!$D$5:$D$31,"6")</f>
        <v>159593.5</v>
      </c>
      <c r="X8" s="1">
        <f>SUMIFS(grunnur!X$5:X$31,grunnur!$C$5:$C$31,"Hafnarfjörður",grunnur!$D$5:$D$31,"6")</f>
        <v>159956.1</v>
      </c>
      <c r="Y8" s="1">
        <f>SUMIFS(grunnur!Y$5:Y$31,grunnur!$C$5:$C$31,"Hafnarfjörður",grunnur!$D$5:$D$31,"6")</f>
        <v>150639.29999999999</v>
      </c>
      <c r="Z8" s="1">
        <f>SUMIFS(grunnur!Z$5:Z$31,grunnur!$C$5:$C$31,"Hafnarfjörður",grunnur!$D$5:$D$31,"6")</f>
        <v>151321.5</v>
      </c>
      <c r="AA8" s="1">
        <f>SUMIFS(grunnur!AA$5:AA$31,grunnur!$C$5:$C$31,"Hafnarfjörður",grunnur!$D$5:$D$31,"6")</f>
        <v>145574</v>
      </c>
      <c r="AB8" s="1">
        <f>SUMIFS(grunnur!AB$5:AB$31,grunnur!$C$5:$C$31,"Hafnarfjörður",grunnur!$D$5:$D$31,"6")</f>
        <v>146219.70000000001</v>
      </c>
      <c r="AC8" s="1">
        <f>SUMIFS(grunnur!AC$5:AC$31,grunnur!$C$5:$C$31,"Hafnarfjörður",grunnur!$D$5:$D$31,"6")</f>
        <v>150156.9</v>
      </c>
      <c r="AD8" s="1">
        <f>SUMIFS(grunnur!AD$5:AD$31,grunnur!$C$5:$C$31,"Hafnarfjörður",grunnur!$D$5:$D$31,"6")</f>
        <v>157787.29999999999</v>
      </c>
      <c r="AE8" s="1">
        <f>SUMIFS(grunnur!AE$5:AE$31,grunnur!$C$5:$C$31,"Hafnarfjörður",grunnur!$D$5:$D$31,"6")</f>
        <v>163887.4</v>
      </c>
      <c r="AF8" s="1">
        <f>SUMIFS(grunnur!AF$5:AF$31,grunnur!$C$5:$C$31,"Hafnarfjörður",grunnur!$D$5:$D$31,"6")</f>
        <v>164382.6</v>
      </c>
    </row>
    <row r="9" spans="2:33" x14ac:dyDescent="0.25">
      <c r="B9" s="10">
        <v>1604</v>
      </c>
      <c r="C9" s="10" t="s">
        <v>15</v>
      </c>
      <c r="D9" s="23">
        <v>6</v>
      </c>
      <c r="E9" t="s">
        <v>7</v>
      </c>
      <c r="F9" s="1">
        <f>SUMIFS(grunnur!F$5:F$31,grunnur!$C$5:$C$31,"Mosfellsbær",grunnur!$D$5:$D$31,"6")</f>
        <v>8078.3</v>
      </c>
      <c r="G9" s="1">
        <f>SUMIFS(grunnur!G$5:G$31,grunnur!$C$5:$C$31,"Mosfellsbær",grunnur!$D$5:$D$31,"6")</f>
        <v>9380.7000000000007</v>
      </c>
      <c r="H9" s="1">
        <f>SUMIFS(grunnur!H$5:H$31,grunnur!$C$5:$C$31,"Mosfellsbær",grunnur!$D$5:$D$31,"6")</f>
        <v>12059.4</v>
      </c>
      <c r="I9" s="1">
        <f>SUMIFS(grunnur!I$5:I$31,grunnur!$C$5:$C$31,"Mosfellsbær",grunnur!$D$5:$D$31,"6")</f>
        <v>16968.2</v>
      </c>
      <c r="J9" s="1">
        <f>SUMIFS(grunnur!J$5:J$31,grunnur!$C$5:$C$31,"Mosfellsbær",grunnur!$D$5:$D$31,"6")</f>
        <v>16811.2</v>
      </c>
      <c r="K9" s="1">
        <f>SUMIFS(grunnur!K$5:K$31,grunnur!$C$5:$C$31,"Mosfellsbær",grunnur!$D$5:$D$31,"6")</f>
        <v>17098.2</v>
      </c>
      <c r="L9" s="1">
        <f>SUMIFS(grunnur!L$5:L$31,grunnur!$C$5:$C$31,"Mosfellsbær",grunnur!$D$5:$D$31,"6")</f>
        <v>17259</v>
      </c>
      <c r="M9" s="1">
        <f>SUMIFS(grunnur!M$5:M$31,grunnur!$C$5:$C$31,"Mosfellsbær",grunnur!$D$5:$D$31,"6")</f>
        <v>17340.599999999999</v>
      </c>
      <c r="N9" s="1">
        <f>SUMIFS(grunnur!N$5:N$31,grunnur!$C$5:$C$31,"Mosfellsbær",grunnur!$D$5:$D$31,"6")</f>
        <v>18255.900000000001</v>
      </c>
      <c r="O9" s="1">
        <f>SUMIFS(grunnur!O$5:O$31,grunnur!$C$5:$C$31,"Mosfellsbær",grunnur!$D$5:$D$31,"6")</f>
        <v>18672.400000000001</v>
      </c>
      <c r="P9" s="1">
        <f>SUMIFS(grunnur!P$5:P$31,grunnur!$C$5:$C$31,"Mosfellsbær",grunnur!$D$5:$D$31,"6")</f>
        <v>19702.7</v>
      </c>
      <c r="Q9" s="1">
        <f>SUMIFS(grunnur!Q$5:Q$31,grunnur!$C$5:$C$31,"Mosfellsbær",grunnur!$D$5:$D$31,"6")</f>
        <v>19853.599999999999</v>
      </c>
      <c r="R9" s="1">
        <f>SUMIFS(grunnur!R$5:R$31,grunnur!$C$5:$C$31,"Mosfellsbær",grunnur!$D$5:$D$31,"6")</f>
        <v>23888.1</v>
      </c>
      <c r="S9" s="1">
        <f>SUMIFS(grunnur!S$5:S$31,grunnur!$C$5:$C$31,"Mosfellsbær",grunnur!$D$5:$D$31,"6")</f>
        <v>23895.5</v>
      </c>
      <c r="T9" s="1">
        <f>SUMIFS(grunnur!T$5:T$31,grunnur!$C$5:$C$31,"Mosfellsbær",grunnur!$D$5:$D$31,"6")</f>
        <v>24331.200000000001</v>
      </c>
      <c r="U9" s="1">
        <f>SUMIFS(grunnur!U$5:U$31,grunnur!$C$5:$C$31,"Mosfellsbær",grunnur!$D$5:$D$31,"6")</f>
        <v>24352.5</v>
      </c>
      <c r="V9" s="1">
        <f>SUMIFS(grunnur!V$5:V$31,grunnur!$C$5:$C$31,"Mosfellsbær",grunnur!$D$5:$D$31,"6")</f>
        <v>25143.599999999999</v>
      </c>
      <c r="W9" s="1">
        <f>SUMIFS(grunnur!W$5:W$31,grunnur!$C$5:$C$31,"Mosfellsbær",grunnur!$D$5:$D$31,"6")</f>
        <v>25143.599999999999</v>
      </c>
      <c r="X9" s="1">
        <f>SUMIFS(grunnur!X$5:X$31,grunnur!$C$5:$C$31,"Mosfellsbær",grunnur!$D$5:$D$31,"6")</f>
        <v>25143.599999999999</v>
      </c>
      <c r="Y9" s="1">
        <f>SUMIFS(grunnur!Y$5:Y$31,grunnur!$C$5:$C$31,"Mosfellsbær",grunnur!$D$5:$D$31,"6")</f>
        <v>25143.599999999999</v>
      </c>
      <c r="Z9" s="1">
        <f>SUMIFS(grunnur!Z$5:Z$31,grunnur!$C$5:$C$31,"Mosfellsbær",grunnur!$D$5:$D$31,"6")</f>
        <v>27193.200000000001</v>
      </c>
      <c r="AA9" s="1">
        <f>SUMIFS(grunnur!AA$5:AA$31,grunnur!$C$5:$C$31,"Mosfellsbær",grunnur!$D$5:$D$31,"6")</f>
        <v>27193.200000000001</v>
      </c>
      <c r="AB9" s="1">
        <f>SUMIFS(grunnur!AB$5:AB$31,grunnur!$C$5:$C$31,"Mosfellsbær",grunnur!$D$5:$D$31,"6")</f>
        <v>28368.2</v>
      </c>
      <c r="AC9" s="1">
        <f>SUMIFS(grunnur!AC$5:AC$31,grunnur!$C$5:$C$31,"Mosfellsbær",grunnur!$D$5:$D$31,"6")</f>
        <v>28586.400000000001</v>
      </c>
      <c r="AD9" s="1">
        <f>SUMIFS(grunnur!AD$5:AD$31,grunnur!$C$5:$C$31,"Mosfellsbær",grunnur!$D$5:$D$31,"6")</f>
        <v>33436.199999999997</v>
      </c>
      <c r="AE9" s="1">
        <f>SUMIFS(grunnur!AE$5:AE$31,grunnur!$C$5:$C$31,"Mosfellsbær",grunnur!$D$5:$D$31,"6")</f>
        <v>33589.699999999997</v>
      </c>
      <c r="AF9" s="1">
        <f>SUMIFS(grunnur!AF$5:AF$31,grunnur!$C$5:$C$31,"Mosfellsbær",grunnur!$D$5:$D$31,"6")</f>
        <v>32354.799999999999</v>
      </c>
    </row>
    <row r="10" spans="2:33" x14ac:dyDescent="0.25">
      <c r="B10" s="16">
        <v>1606</v>
      </c>
      <c r="C10" s="16" t="s">
        <v>16</v>
      </c>
      <c r="D10" s="24">
        <v>6</v>
      </c>
      <c r="E10" s="18" t="s">
        <v>7</v>
      </c>
      <c r="F10" s="3">
        <f>SUMIFS(grunnur!F$5:F$31,grunnur!$C$5:$C$31,"Kjósarhreppur",grunnur!$D$5:$D$31,"6")</f>
        <v>0</v>
      </c>
      <c r="G10" s="3">
        <f>SUMIFS(grunnur!G$5:G$31,grunnur!$C$5:$C$31,"Kjósarhreppur",grunnur!$D$5:$D$31,"6")</f>
        <v>0</v>
      </c>
      <c r="H10" s="3">
        <f>SUMIFS(grunnur!H$5:H$31,grunnur!$C$5:$C$31,"Kjósarhreppur",grunnur!$D$5:$D$31,"6")</f>
        <v>0</v>
      </c>
      <c r="I10" s="3">
        <f>SUMIFS(grunnur!I$5:I$31,grunnur!$C$5:$C$31,"Kjósarhreppur",grunnur!$D$5:$D$31,"6")</f>
        <v>0</v>
      </c>
      <c r="J10" s="3">
        <f>SUMIFS(grunnur!J$5:J$31,grunnur!$C$5:$C$31,"Kjósarhreppur",grunnur!$D$5:$D$31,"6")</f>
        <v>0</v>
      </c>
      <c r="K10" s="3">
        <f>SUMIFS(grunnur!K$5:K$31,grunnur!$C$5:$C$31,"Kjósarhreppur",grunnur!$D$5:$D$31,"6")</f>
        <v>0</v>
      </c>
      <c r="L10" s="3">
        <f>SUMIFS(grunnur!L$5:L$31,grunnur!$C$5:$C$31,"Kjósarhreppur",grunnur!$D$5:$D$31,"6")</f>
        <v>0</v>
      </c>
      <c r="M10" s="3">
        <f>SUMIFS(grunnur!M$5:M$31,grunnur!$C$5:$C$31,"Kjósarhreppur",grunnur!$D$5:$D$31,"6")</f>
        <v>0</v>
      </c>
      <c r="N10" s="3">
        <f>SUMIFS(grunnur!N$5:N$31,grunnur!$C$5:$C$31,"Kjósarhreppur",grunnur!$D$5:$D$31,"6")</f>
        <v>0</v>
      </c>
      <c r="O10" s="3">
        <f>SUMIFS(grunnur!O$5:O$31,grunnur!$C$5:$C$31,"Kjósarhreppur",grunnur!$D$5:$D$31,"6")</f>
        <v>0</v>
      </c>
      <c r="P10" s="3">
        <f>SUMIFS(grunnur!P$5:P$31,grunnur!$C$5:$C$31,"Kjósarhreppur",grunnur!$D$5:$D$31,"6")</f>
        <v>0</v>
      </c>
      <c r="Q10" s="3">
        <f>SUMIFS(grunnur!Q$5:Q$31,grunnur!$C$5:$C$31,"Kjósarhreppur",grunnur!$D$5:$D$31,"6")</f>
        <v>0</v>
      </c>
      <c r="R10" s="3">
        <f>SUMIFS(grunnur!R$5:R$31,grunnur!$C$5:$C$31,"Kjósarhreppur",grunnur!$D$5:$D$31,"6")</f>
        <v>0</v>
      </c>
      <c r="S10" s="3">
        <f>SUMIFS(grunnur!S$5:S$31,grunnur!$C$5:$C$31,"Kjósarhreppur",grunnur!$D$5:$D$31,"6")</f>
        <v>0</v>
      </c>
      <c r="T10" s="3">
        <f>SUMIFS(grunnur!T$5:T$31,grunnur!$C$5:$C$31,"Kjósarhreppur",grunnur!$D$5:$D$31,"6")</f>
        <v>0</v>
      </c>
      <c r="U10" s="3">
        <f>SUMIFS(grunnur!U$5:U$31,grunnur!$C$5:$C$31,"Kjósarhreppur",grunnur!$D$5:$D$31,"6")</f>
        <v>0</v>
      </c>
      <c r="V10" s="3">
        <f>SUMIFS(grunnur!V$5:V$31,grunnur!$C$5:$C$31,"Kjósarhreppur",grunnur!$D$5:$D$31,"6")</f>
        <v>0</v>
      </c>
      <c r="W10" s="3">
        <f>SUMIFS(grunnur!W$5:W$31,grunnur!$C$5:$C$31,"Kjósarhreppur",grunnur!$D$5:$D$31,"6")</f>
        <v>0</v>
      </c>
      <c r="X10" s="3">
        <f>SUMIFS(grunnur!X$5:X$31,grunnur!$C$5:$C$31,"Kjósarhreppur",grunnur!$D$5:$D$31,"6")</f>
        <v>0</v>
      </c>
      <c r="Y10" s="3">
        <f>SUMIFS(grunnur!Y$5:Y$31,grunnur!$C$5:$C$31,"Kjósarhreppur",grunnur!$D$5:$D$31,"6")</f>
        <v>0</v>
      </c>
      <c r="Z10" s="3">
        <f>SUMIFS(grunnur!Z$5:Z$31,grunnur!$C$5:$C$31,"Kjósarhreppur",grunnur!$D$5:$D$31,"6")</f>
        <v>0</v>
      </c>
      <c r="AA10" s="3">
        <f>SUMIFS(grunnur!AA$5:AA$31,grunnur!$C$5:$C$31,"Kjósarhreppur",grunnur!$D$5:$D$31,"6")</f>
        <v>0</v>
      </c>
      <c r="AB10" s="3">
        <f>SUMIFS(grunnur!AB$5:AB$31,grunnur!$C$5:$C$31,"Kjósarhreppur",grunnur!$D$5:$D$31,"6")</f>
        <v>0</v>
      </c>
      <c r="AC10" s="3">
        <f>SUMIFS(grunnur!AC$5:AC$31,grunnur!$C$5:$C$31,"Kjósarhreppur",grunnur!$D$5:$D$31,"6")</f>
        <v>0</v>
      </c>
      <c r="AD10" s="3">
        <f>SUMIFS(grunnur!AD$5:AD$31,grunnur!$C$5:$C$31,"Kjósarhreppur",grunnur!$D$5:$D$31,"6")</f>
        <v>0</v>
      </c>
      <c r="AE10" s="3">
        <f>SUMIFS(grunnur!AE$5:AE$31,grunnur!$C$5:$C$31,"Kjósarhreppur",grunnur!$D$5:$D$31,"6")</f>
        <v>0</v>
      </c>
      <c r="AF10" s="3">
        <f>SUMIFS(grunnur!AF$5:AF$31,grunnur!$C$5:$C$31,"Kjósarhreppur",grunnur!$D$5:$D$31,"6")</f>
        <v>0</v>
      </c>
    </row>
    <row r="11" spans="2:33" x14ac:dyDescent="0.25">
      <c r="C11" s="10" t="s">
        <v>21</v>
      </c>
      <c r="D11" s="23">
        <v>6</v>
      </c>
      <c r="E11" t="s">
        <v>7</v>
      </c>
      <c r="F11" s="1">
        <f>+SUM(F4:F10)</f>
        <v>1134958.6000000003</v>
      </c>
      <c r="G11" s="1">
        <f t="shared" ref="G11:AF11" si="0">+SUM(G4:G10)</f>
        <v>1193232.3999999999</v>
      </c>
      <c r="H11" s="1">
        <f t="shared" si="0"/>
        <v>1217187.4999999998</v>
      </c>
      <c r="I11" s="1">
        <f t="shared" si="0"/>
        <v>1221032.6000000001</v>
      </c>
      <c r="J11" s="1">
        <f t="shared" si="0"/>
        <v>1273258</v>
      </c>
      <c r="K11" s="1">
        <f t="shared" si="0"/>
        <v>1363802.4000000001</v>
      </c>
      <c r="L11" s="1">
        <f t="shared" si="0"/>
        <v>1398919.5999999999</v>
      </c>
      <c r="M11" s="1">
        <f t="shared" si="0"/>
        <v>1506923.0999999999</v>
      </c>
      <c r="N11" s="1">
        <f t="shared" si="0"/>
        <v>1592941.7999999996</v>
      </c>
      <c r="O11" s="1">
        <f t="shared" si="0"/>
        <v>1622836.3999999997</v>
      </c>
      <c r="P11" s="1">
        <f t="shared" si="0"/>
        <v>1649689.7</v>
      </c>
      <c r="Q11" s="1">
        <f t="shared" si="0"/>
        <v>1688022.2000000002</v>
      </c>
      <c r="R11" s="1">
        <f t="shared" si="0"/>
        <v>1845300.0999999999</v>
      </c>
      <c r="S11" s="1">
        <f t="shared" si="0"/>
        <v>2001937.5000000002</v>
      </c>
      <c r="T11" s="1">
        <f t="shared" si="0"/>
        <v>2154367.9000000004</v>
      </c>
      <c r="U11" s="1">
        <f t="shared" si="0"/>
        <v>2169055.6</v>
      </c>
      <c r="V11" s="1">
        <f t="shared" si="0"/>
        <v>2171278.3000000003</v>
      </c>
      <c r="W11" s="1">
        <f t="shared" si="0"/>
        <v>2177676.2000000002</v>
      </c>
      <c r="X11" s="1">
        <f t="shared" si="0"/>
        <v>2180380.1999999997</v>
      </c>
      <c r="Y11" s="1">
        <f t="shared" si="0"/>
        <v>2167592.8000000003</v>
      </c>
      <c r="Z11" s="1">
        <f t="shared" si="0"/>
        <v>2186647.3000000003</v>
      </c>
      <c r="AA11" s="1">
        <f t="shared" si="0"/>
        <v>2201526.6000000006</v>
      </c>
      <c r="AB11" s="1">
        <f t="shared" si="0"/>
        <v>2239707.1</v>
      </c>
      <c r="AC11" s="1">
        <f t="shared" si="0"/>
        <v>2266304.2999999998</v>
      </c>
      <c r="AD11" s="1">
        <f t="shared" si="0"/>
        <v>2328410.5</v>
      </c>
      <c r="AE11" s="1">
        <f t="shared" si="0"/>
        <v>2342676.4000000004</v>
      </c>
      <c r="AF11" s="1">
        <f t="shared" si="0"/>
        <v>2366612.4</v>
      </c>
    </row>
    <row r="12" spans="2:33" x14ac:dyDescent="0.25">
      <c r="AF12" s="11"/>
    </row>
    <row r="13" spans="2:33" s="15" customFormat="1" x14ac:dyDescent="0.25">
      <c r="B13" s="13" t="s">
        <v>22</v>
      </c>
      <c r="C13" s="13"/>
      <c r="D13" s="1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2:33" x14ac:dyDescent="0.25">
      <c r="B14" s="7" t="s">
        <v>2</v>
      </c>
      <c r="C14" s="7" t="s">
        <v>18</v>
      </c>
      <c r="D14" s="7" t="s">
        <v>3</v>
      </c>
      <c r="E14" s="9" t="s">
        <v>4</v>
      </c>
      <c r="F14" s="22"/>
      <c r="G14" s="9">
        <v>1995</v>
      </c>
      <c r="H14" s="9">
        <v>1996</v>
      </c>
      <c r="I14" s="9">
        <v>1997</v>
      </c>
      <c r="J14" s="9">
        <v>1998</v>
      </c>
      <c r="K14" s="9">
        <v>1999</v>
      </c>
      <c r="L14" s="9">
        <v>2000</v>
      </c>
      <c r="M14" s="9">
        <v>2001</v>
      </c>
      <c r="N14" s="9">
        <v>2002</v>
      </c>
      <c r="O14" s="9">
        <v>2003</v>
      </c>
      <c r="P14" s="9">
        <v>2004</v>
      </c>
      <c r="Q14" s="9">
        <v>2005</v>
      </c>
      <c r="R14" s="9">
        <v>2006</v>
      </c>
      <c r="S14" s="9">
        <v>2007</v>
      </c>
      <c r="T14" s="9">
        <v>2008</v>
      </c>
      <c r="U14" s="9">
        <v>2009</v>
      </c>
      <c r="V14" s="9">
        <v>2010</v>
      </c>
      <c r="W14" s="9">
        <v>2011</v>
      </c>
      <c r="X14" s="9">
        <v>2012</v>
      </c>
      <c r="Y14" s="9">
        <v>2013</v>
      </c>
      <c r="Z14" s="9">
        <v>2014</v>
      </c>
      <c r="AA14" s="9">
        <v>2015</v>
      </c>
      <c r="AB14" s="9">
        <v>2016</v>
      </c>
      <c r="AC14" s="9">
        <v>2017</v>
      </c>
      <c r="AD14" s="9">
        <v>2018</v>
      </c>
      <c r="AE14" s="9">
        <v>2019</v>
      </c>
      <c r="AF14" s="9">
        <v>2020</v>
      </c>
    </row>
    <row r="15" spans="2:33" x14ac:dyDescent="0.25">
      <c r="B15" s="6" t="s">
        <v>5</v>
      </c>
      <c r="C15" s="10" t="s">
        <v>6</v>
      </c>
      <c r="D15" s="23">
        <v>6</v>
      </c>
      <c r="E15" t="s">
        <v>7</v>
      </c>
      <c r="F15" s="1"/>
      <c r="G15" s="1">
        <f>+G4-F4</f>
        <v>40063</v>
      </c>
      <c r="H15" s="1">
        <f t="shared" ref="H15:AF22" si="1">+H4-G4</f>
        <v>4212.5</v>
      </c>
      <c r="I15" s="1">
        <f t="shared" si="1"/>
        <v>-10581.699999999953</v>
      </c>
      <c r="J15" s="1">
        <f t="shared" si="1"/>
        <v>7650.3999999999069</v>
      </c>
      <c r="K15" s="1">
        <f t="shared" si="1"/>
        <v>75566.100000000093</v>
      </c>
      <c r="L15" s="1">
        <f t="shared" si="1"/>
        <v>13483.800000000047</v>
      </c>
      <c r="M15" s="1">
        <f t="shared" si="1"/>
        <v>28502.799999999814</v>
      </c>
      <c r="N15" s="1">
        <f t="shared" si="1"/>
        <v>84098.5</v>
      </c>
      <c r="O15" s="1">
        <f t="shared" si="1"/>
        <v>19480.800000000047</v>
      </c>
      <c r="P15" s="1">
        <f t="shared" si="1"/>
        <v>7597.3000000000466</v>
      </c>
      <c r="Q15" s="1">
        <f t="shared" si="1"/>
        <v>11210.100000000093</v>
      </c>
      <c r="R15" s="1">
        <f t="shared" si="1"/>
        <v>66145.399999999907</v>
      </c>
      <c r="S15" s="1">
        <f t="shared" si="1"/>
        <v>92573.100000000093</v>
      </c>
      <c r="T15" s="1">
        <f t="shared" si="1"/>
        <v>73800</v>
      </c>
      <c r="U15" s="1">
        <f t="shared" si="1"/>
        <v>5138.0999999998603</v>
      </c>
      <c r="V15" s="1">
        <f t="shared" si="1"/>
        <v>923.80000000004657</v>
      </c>
      <c r="W15" s="1">
        <f t="shared" si="1"/>
        <v>3482.3000000000466</v>
      </c>
      <c r="X15" s="1">
        <f t="shared" si="1"/>
        <v>8147.5999999998603</v>
      </c>
      <c r="Y15" s="1">
        <f t="shared" si="1"/>
        <v>-7167.0999999998603</v>
      </c>
      <c r="Z15" s="1">
        <f t="shared" si="1"/>
        <v>16837</v>
      </c>
      <c r="AA15" s="1">
        <f t="shared" si="1"/>
        <v>20587.300000000047</v>
      </c>
      <c r="AB15" s="1">
        <f t="shared" si="1"/>
        <v>14384.09999999986</v>
      </c>
      <c r="AC15" s="1">
        <f t="shared" si="1"/>
        <v>25660.100000000093</v>
      </c>
      <c r="AD15" s="1">
        <f t="shared" si="1"/>
        <v>50889.09999999986</v>
      </c>
      <c r="AE15" s="1">
        <f t="shared" si="1"/>
        <v>6124.2000000001863</v>
      </c>
      <c r="AF15" s="1">
        <f t="shared" si="1"/>
        <v>19398.799999999814</v>
      </c>
    </row>
    <row r="16" spans="2:33" x14ac:dyDescent="0.25">
      <c r="B16" s="10">
        <v>1000</v>
      </c>
      <c r="C16" s="10" t="s">
        <v>11</v>
      </c>
      <c r="D16" s="23">
        <v>6</v>
      </c>
      <c r="E16" t="s">
        <v>7</v>
      </c>
      <c r="G16" s="1">
        <f t="shared" ref="G16:V22" si="2">+G5-F5</f>
        <v>4027</v>
      </c>
      <c r="H16" s="1">
        <f t="shared" si="2"/>
        <v>5908.5</v>
      </c>
      <c r="I16" s="1">
        <f t="shared" si="2"/>
        <v>7071.6999999999971</v>
      </c>
      <c r="J16" s="1">
        <f t="shared" si="2"/>
        <v>40690.100000000006</v>
      </c>
      <c r="K16" s="1">
        <f t="shared" si="2"/>
        <v>11664.699999999997</v>
      </c>
      <c r="L16" s="1">
        <f t="shared" si="2"/>
        <v>10256.099999999991</v>
      </c>
      <c r="M16" s="1">
        <f t="shared" si="2"/>
        <v>74801.800000000017</v>
      </c>
      <c r="N16" s="1">
        <f t="shared" si="2"/>
        <v>-2533.4000000000233</v>
      </c>
      <c r="O16" s="1">
        <f t="shared" si="2"/>
        <v>9942.9000000000233</v>
      </c>
      <c r="P16" s="1">
        <f t="shared" si="2"/>
        <v>6277.3999999999942</v>
      </c>
      <c r="Q16" s="1">
        <f t="shared" si="2"/>
        <v>6792.2999999999884</v>
      </c>
      <c r="R16" s="1">
        <f t="shared" si="2"/>
        <v>66988.100000000006</v>
      </c>
      <c r="S16" s="1">
        <f t="shared" si="2"/>
        <v>42388.599999999977</v>
      </c>
      <c r="T16" s="1">
        <f t="shared" si="2"/>
        <v>26922</v>
      </c>
      <c r="U16" s="1">
        <f t="shared" si="2"/>
        <v>-739.39999999996508</v>
      </c>
      <c r="V16" s="1">
        <f t="shared" si="2"/>
        <v>526.89999999996508</v>
      </c>
      <c r="W16" s="1">
        <f t="shared" si="1"/>
        <v>2802.6000000000349</v>
      </c>
      <c r="X16" s="1">
        <f t="shared" si="1"/>
        <v>-5761.7999999999884</v>
      </c>
      <c r="Y16" s="1">
        <f t="shared" si="1"/>
        <v>3403.5</v>
      </c>
      <c r="Z16" s="1">
        <f t="shared" si="1"/>
        <v>-1279.9000000000233</v>
      </c>
      <c r="AA16" s="1">
        <f t="shared" si="1"/>
        <v>38.5</v>
      </c>
      <c r="AB16" s="1">
        <f t="shared" si="1"/>
        <v>18513.299999999988</v>
      </c>
      <c r="AC16" s="1">
        <f t="shared" si="1"/>
        <v>-4746.5999999999767</v>
      </c>
      <c r="AD16" s="1">
        <f t="shared" si="1"/>
        <v>-3029.5</v>
      </c>
      <c r="AE16" s="1">
        <f t="shared" si="1"/>
        <v>-248.60000000003492</v>
      </c>
      <c r="AF16" s="1">
        <f t="shared" si="1"/>
        <v>5603.6000000000349</v>
      </c>
    </row>
    <row r="17" spans="2:32" x14ac:dyDescent="0.25">
      <c r="B17" s="10">
        <v>1100</v>
      </c>
      <c r="C17" s="10" t="s">
        <v>17</v>
      </c>
      <c r="D17" s="23">
        <v>6</v>
      </c>
      <c r="E17" t="s">
        <v>7</v>
      </c>
      <c r="G17" s="1">
        <f t="shared" si="2"/>
        <v>3581.8999999999996</v>
      </c>
      <c r="H17" s="1">
        <f t="shared" si="1"/>
        <v>95.399999999999636</v>
      </c>
      <c r="I17" s="1">
        <f t="shared" si="1"/>
        <v>0</v>
      </c>
      <c r="J17" s="1">
        <f t="shared" si="1"/>
        <v>0</v>
      </c>
      <c r="K17" s="1">
        <f t="shared" si="1"/>
        <v>38.600000000000364</v>
      </c>
      <c r="L17" s="1">
        <f t="shared" si="1"/>
        <v>1331.3999999999996</v>
      </c>
      <c r="M17" s="1">
        <f t="shared" si="1"/>
        <v>0</v>
      </c>
      <c r="N17" s="1">
        <f t="shared" si="1"/>
        <v>0</v>
      </c>
      <c r="O17" s="1">
        <f t="shared" si="1"/>
        <v>-193.39999999999964</v>
      </c>
      <c r="P17" s="1">
        <f t="shared" si="1"/>
        <v>0</v>
      </c>
      <c r="Q17" s="1">
        <f t="shared" si="1"/>
        <v>-118.70000000000073</v>
      </c>
      <c r="R17" s="1">
        <f t="shared" si="1"/>
        <v>-422.39999999999964</v>
      </c>
      <c r="S17" s="1">
        <f t="shared" si="1"/>
        <v>62.399999999999636</v>
      </c>
      <c r="T17" s="1">
        <f t="shared" si="1"/>
        <v>0</v>
      </c>
      <c r="U17" s="1">
        <f t="shared" si="1"/>
        <v>0</v>
      </c>
      <c r="V17" s="1">
        <f t="shared" si="1"/>
        <v>0</v>
      </c>
      <c r="W17" s="1">
        <f t="shared" si="1"/>
        <v>0</v>
      </c>
      <c r="X17" s="1">
        <f t="shared" si="1"/>
        <v>0</v>
      </c>
      <c r="Y17" s="1">
        <f t="shared" si="1"/>
        <v>0</v>
      </c>
      <c r="Z17" s="1">
        <f t="shared" si="1"/>
        <v>0</v>
      </c>
      <c r="AA17" s="1">
        <f t="shared" si="1"/>
        <v>0</v>
      </c>
      <c r="AB17" s="1">
        <f t="shared" si="1"/>
        <v>-202.5</v>
      </c>
      <c r="AC17" s="1">
        <f t="shared" si="1"/>
        <v>-239.89999999999964</v>
      </c>
      <c r="AD17" s="1">
        <f t="shared" si="1"/>
        <v>0</v>
      </c>
      <c r="AE17" s="1">
        <f t="shared" si="1"/>
        <v>-44.899999999999636</v>
      </c>
      <c r="AF17" s="1">
        <f t="shared" si="1"/>
        <v>0</v>
      </c>
    </row>
    <row r="18" spans="2:32" x14ac:dyDescent="0.25">
      <c r="B18" s="10">
        <v>1300</v>
      </c>
      <c r="C18" s="10" t="s">
        <v>13</v>
      </c>
      <c r="D18" s="23">
        <v>6</v>
      </c>
      <c r="E18" t="s">
        <v>7</v>
      </c>
      <c r="G18" s="1">
        <f t="shared" si="2"/>
        <v>2854.8999999999996</v>
      </c>
      <c r="H18" s="1">
        <f t="shared" si="1"/>
        <v>-1128.2999999999993</v>
      </c>
      <c r="I18" s="1">
        <f t="shared" si="1"/>
        <v>1271.3999999999978</v>
      </c>
      <c r="J18" s="1">
        <f t="shared" si="1"/>
        <v>0</v>
      </c>
      <c r="K18" s="1">
        <f t="shared" si="1"/>
        <v>157.20000000000073</v>
      </c>
      <c r="L18" s="1">
        <f t="shared" si="1"/>
        <v>7789</v>
      </c>
      <c r="M18" s="1">
        <f t="shared" si="1"/>
        <v>294.40000000000146</v>
      </c>
      <c r="N18" s="1">
        <f t="shared" si="1"/>
        <v>-343.29999999999927</v>
      </c>
      <c r="O18" s="1">
        <f t="shared" si="1"/>
        <v>-62.5</v>
      </c>
      <c r="P18" s="1">
        <f t="shared" si="1"/>
        <v>563.09999999999854</v>
      </c>
      <c r="Q18" s="1">
        <f t="shared" si="1"/>
        <v>20521.699999999997</v>
      </c>
      <c r="R18" s="1">
        <f t="shared" si="1"/>
        <v>15451.700000000004</v>
      </c>
      <c r="S18" s="1">
        <f t="shared" si="1"/>
        <v>10500.299999999996</v>
      </c>
      <c r="T18" s="1">
        <f t="shared" si="1"/>
        <v>23491.100000000006</v>
      </c>
      <c r="U18" s="1">
        <f t="shared" si="1"/>
        <v>0</v>
      </c>
      <c r="V18" s="1">
        <f t="shared" si="1"/>
        <v>0</v>
      </c>
      <c r="W18" s="1">
        <f t="shared" si="1"/>
        <v>0</v>
      </c>
      <c r="X18" s="1">
        <f t="shared" si="1"/>
        <v>-44.400000000008731</v>
      </c>
      <c r="Y18" s="1">
        <f t="shared" si="1"/>
        <v>293</v>
      </c>
      <c r="Z18" s="1">
        <f t="shared" si="1"/>
        <v>765.60000000000582</v>
      </c>
      <c r="AA18" s="1">
        <f t="shared" si="1"/>
        <v>1</v>
      </c>
      <c r="AB18" s="1">
        <f t="shared" si="1"/>
        <v>3664.8999999999942</v>
      </c>
      <c r="AC18" s="1">
        <f t="shared" si="1"/>
        <v>1768.2000000000116</v>
      </c>
      <c r="AD18" s="1">
        <f t="shared" si="1"/>
        <v>1766.3999999999942</v>
      </c>
      <c r="AE18" s="1">
        <f t="shared" si="1"/>
        <v>2181.6000000000058</v>
      </c>
      <c r="AF18" s="1">
        <f t="shared" si="1"/>
        <v>-326.70000000001164</v>
      </c>
    </row>
    <row r="19" spans="2:32" x14ac:dyDescent="0.25">
      <c r="B19" s="10">
        <v>1400</v>
      </c>
      <c r="C19" s="10" t="s">
        <v>14</v>
      </c>
      <c r="D19" s="23">
        <v>6</v>
      </c>
      <c r="E19" t="s">
        <v>7</v>
      </c>
      <c r="G19" s="1">
        <f t="shared" si="2"/>
        <v>6444.5999999999985</v>
      </c>
      <c r="H19" s="1">
        <f t="shared" si="1"/>
        <v>12188.299999999996</v>
      </c>
      <c r="I19" s="1">
        <f t="shared" si="1"/>
        <v>1174.9000000000087</v>
      </c>
      <c r="J19" s="1">
        <f t="shared" si="1"/>
        <v>4041.8999999999942</v>
      </c>
      <c r="K19" s="1">
        <f t="shared" si="1"/>
        <v>2830.8000000000029</v>
      </c>
      <c r="L19" s="1">
        <f t="shared" si="1"/>
        <v>2096.0999999999913</v>
      </c>
      <c r="M19" s="1">
        <f t="shared" si="1"/>
        <v>4322.9000000000087</v>
      </c>
      <c r="N19" s="1">
        <f t="shared" si="1"/>
        <v>3881.5999999999913</v>
      </c>
      <c r="O19" s="1">
        <f t="shared" si="1"/>
        <v>310.30000000000291</v>
      </c>
      <c r="P19" s="1">
        <f t="shared" si="1"/>
        <v>11385.199999999997</v>
      </c>
      <c r="Q19" s="1">
        <f t="shared" si="1"/>
        <v>-223.79999999998836</v>
      </c>
      <c r="R19" s="1">
        <f t="shared" si="1"/>
        <v>5080.5999999999913</v>
      </c>
      <c r="S19" s="1">
        <f t="shared" si="1"/>
        <v>11105.600000000006</v>
      </c>
      <c r="T19" s="1">
        <f t="shared" si="1"/>
        <v>27781.599999999991</v>
      </c>
      <c r="U19" s="1">
        <f t="shared" si="1"/>
        <v>10267.700000000012</v>
      </c>
      <c r="V19" s="1">
        <f t="shared" si="1"/>
        <v>-19.100000000005821</v>
      </c>
      <c r="W19" s="1">
        <f t="shared" si="1"/>
        <v>113</v>
      </c>
      <c r="X19" s="1">
        <f t="shared" si="1"/>
        <v>362.60000000000582</v>
      </c>
      <c r="Y19" s="1">
        <f t="shared" si="1"/>
        <v>-9316.8000000000175</v>
      </c>
      <c r="Z19" s="1">
        <f t="shared" si="1"/>
        <v>682.20000000001164</v>
      </c>
      <c r="AA19" s="1">
        <f t="shared" si="1"/>
        <v>-5747.5</v>
      </c>
      <c r="AB19" s="1">
        <f t="shared" si="1"/>
        <v>645.70000000001164</v>
      </c>
      <c r="AC19" s="1">
        <f t="shared" si="1"/>
        <v>3937.1999999999825</v>
      </c>
      <c r="AD19" s="1">
        <f t="shared" si="1"/>
        <v>7630.3999999999942</v>
      </c>
      <c r="AE19" s="1">
        <f t="shared" si="1"/>
        <v>6100.1000000000058</v>
      </c>
      <c r="AF19" s="1">
        <f t="shared" si="1"/>
        <v>495.20000000001164</v>
      </c>
    </row>
    <row r="20" spans="2:32" x14ac:dyDescent="0.25">
      <c r="B20" s="10">
        <v>1604</v>
      </c>
      <c r="C20" s="10" t="s">
        <v>15</v>
      </c>
      <c r="D20" s="23">
        <v>6</v>
      </c>
      <c r="E20" t="s">
        <v>7</v>
      </c>
      <c r="G20" s="1">
        <f t="shared" si="2"/>
        <v>1302.4000000000005</v>
      </c>
      <c r="H20" s="1">
        <f t="shared" si="1"/>
        <v>2678.6999999999989</v>
      </c>
      <c r="I20" s="1">
        <f t="shared" si="1"/>
        <v>4908.8000000000011</v>
      </c>
      <c r="J20" s="1">
        <f t="shared" si="1"/>
        <v>-157</v>
      </c>
      <c r="K20" s="1">
        <f t="shared" si="1"/>
        <v>287</v>
      </c>
      <c r="L20" s="1">
        <f t="shared" si="1"/>
        <v>160.79999999999927</v>
      </c>
      <c r="M20" s="1">
        <f t="shared" si="1"/>
        <v>81.599999999998545</v>
      </c>
      <c r="N20" s="1">
        <f t="shared" si="1"/>
        <v>915.30000000000291</v>
      </c>
      <c r="O20" s="1">
        <f t="shared" si="1"/>
        <v>416.5</v>
      </c>
      <c r="P20" s="1">
        <f t="shared" si="1"/>
        <v>1030.2999999999993</v>
      </c>
      <c r="Q20" s="1">
        <f t="shared" si="1"/>
        <v>150.89999999999782</v>
      </c>
      <c r="R20" s="1">
        <f t="shared" si="1"/>
        <v>4034.5</v>
      </c>
      <c r="S20" s="1">
        <f t="shared" si="1"/>
        <v>7.4000000000014552</v>
      </c>
      <c r="T20" s="1">
        <f t="shared" si="1"/>
        <v>435.70000000000073</v>
      </c>
      <c r="U20" s="1">
        <f t="shared" si="1"/>
        <v>21.299999999999272</v>
      </c>
      <c r="V20" s="1">
        <f t="shared" si="1"/>
        <v>791.09999999999854</v>
      </c>
      <c r="W20" s="1">
        <f t="shared" si="1"/>
        <v>0</v>
      </c>
      <c r="X20" s="1">
        <f t="shared" si="1"/>
        <v>0</v>
      </c>
      <c r="Y20" s="1">
        <f t="shared" si="1"/>
        <v>0</v>
      </c>
      <c r="Z20" s="1">
        <f t="shared" si="1"/>
        <v>2049.6000000000022</v>
      </c>
      <c r="AA20" s="1">
        <f t="shared" si="1"/>
        <v>0</v>
      </c>
      <c r="AB20" s="1">
        <f t="shared" si="1"/>
        <v>1175</v>
      </c>
      <c r="AC20" s="1">
        <f t="shared" si="1"/>
        <v>218.20000000000073</v>
      </c>
      <c r="AD20" s="1">
        <f t="shared" si="1"/>
        <v>4849.7999999999956</v>
      </c>
      <c r="AE20" s="1">
        <f t="shared" si="1"/>
        <v>153.5</v>
      </c>
      <c r="AF20" s="1">
        <f t="shared" si="1"/>
        <v>-1234.8999999999978</v>
      </c>
    </row>
    <row r="21" spans="2:32" x14ac:dyDescent="0.25">
      <c r="B21" s="16">
        <v>1606</v>
      </c>
      <c r="C21" s="16" t="s">
        <v>16</v>
      </c>
      <c r="D21" s="24">
        <v>6</v>
      </c>
      <c r="E21" s="18" t="s">
        <v>7</v>
      </c>
      <c r="F21" s="18"/>
      <c r="G21" s="3">
        <f t="shared" si="2"/>
        <v>0</v>
      </c>
      <c r="H21" s="3">
        <f t="shared" si="1"/>
        <v>0</v>
      </c>
      <c r="I21" s="3">
        <f t="shared" si="1"/>
        <v>0</v>
      </c>
      <c r="J21" s="3">
        <f t="shared" si="1"/>
        <v>0</v>
      </c>
      <c r="K21" s="3">
        <f t="shared" si="1"/>
        <v>0</v>
      </c>
      <c r="L21" s="3">
        <f t="shared" si="1"/>
        <v>0</v>
      </c>
      <c r="M21" s="3">
        <f t="shared" si="1"/>
        <v>0</v>
      </c>
      <c r="N21" s="3">
        <f t="shared" si="1"/>
        <v>0</v>
      </c>
      <c r="O21" s="3">
        <f t="shared" si="1"/>
        <v>0</v>
      </c>
      <c r="P21" s="3">
        <f t="shared" si="1"/>
        <v>0</v>
      </c>
      <c r="Q21" s="3">
        <f t="shared" si="1"/>
        <v>0</v>
      </c>
      <c r="R21" s="3">
        <f t="shared" si="1"/>
        <v>0</v>
      </c>
      <c r="S21" s="3">
        <f t="shared" si="1"/>
        <v>0</v>
      </c>
      <c r="T21" s="3">
        <f t="shared" si="1"/>
        <v>0</v>
      </c>
      <c r="U21" s="3">
        <f t="shared" si="1"/>
        <v>0</v>
      </c>
      <c r="V21" s="3">
        <f t="shared" si="1"/>
        <v>0</v>
      </c>
      <c r="W21" s="3">
        <f t="shared" si="1"/>
        <v>0</v>
      </c>
      <c r="X21" s="3">
        <f t="shared" si="1"/>
        <v>0</v>
      </c>
      <c r="Y21" s="3">
        <f t="shared" si="1"/>
        <v>0</v>
      </c>
      <c r="Z21" s="3">
        <f t="shared" si="1"/>
        <v>0</v>
      </c>
      <c r="AA21" s="3">
        <f t="shared" si="1"/>
        <v>0</v>
      </c>
      <c r="AB21" s="3">
        <f t="shared" si="1"/>
        <v>0</v>
      </c>
      <c r="AC21" s="3">
        <f t="shared" si="1"/>
        <v>0</v>
      </c>
      <c r="AD21" s="3">
        <f t="shared" si="1"/>
        <v>0</v>
      </c>
      <c r="AE21" s="3">
        <f t="shared" si="1"/>
        <v>0</v>
      </c>
      <c r="AF21" s="3">
        <f t="shared" si="1"/>
        <v>0</v>
      </c>
    </row>
    <row r="22" spans="2:32" x14ac:dyDescent="0.25">
      <c r="C22" s="10" t="s">
        <v>21</v>
      </c>
      <c r="D22" s="23">
        <v>6</v>
      </c>
      <c r="E22" t="s">
        <v>7</v>
      </c>
      <c r="G22" s="1">
        <f t="shared" si="2"/>
        <v>58273.799999999581</v>
      </c>
      <c r="H22" s="1">
        <f t="shared" si="1"/>
        <v>23955.09999999986</v>
      </c>
      <c r="I22" s="1">
        <f t="shared" si="1"/>
        <v>3845.100000000326</v>
      </c>
      <c r="J22" s="1">
        <f t="shared" si="1"/>
        <v>52225.399999999907</v>
      </c>
      <c r="K22" s="1">
        <f t="shared" si="1"/>
        <v>90544.40000000014</v>
      </c>
      <c r="L22" s="1">
        <f t="shared" si="1"/>
        <v>35117.199999999721</v>
      </c>
      <c r="M22" s="1">
        <f t="shared" si="1"/>
        <v>108003.5</v>
      </c>
      <c r="N22" s="1">
        <f t="shared" si="1"/>
        <v>86018.699999999721</v>
      </c>
      <c r="O22" s="1">
        <f t="shared" si="1"/>
        <v>29894.600000000093</v>
      </c>
      <c r="P22" s="1">
        <f t="shared" si="1"/>
        <v>26853.300000000279</v>
      </c>
      <c r="Q22" s="1">
        <f t="shared" si="1"/>
        <v>38332.500000000233</v>
      </c>
      <c r="R22" s="1">
        <f t="shared" si="1"/>
        <v>157277.89999999967</v>
      </c>
      <c r="S22" s="1">
        <f t="shared" si="1"/>
        <v>156637.40000000037</v>
      </c>
      <c r="T22" s="1">
        <f t="shared" si="1"/>
        <v>152430.40000000014</v>
      </c>
      <c r="U22" s="1">
        <f t="shared" si="1"/>
        <v>14687.699999999721</v>
      </c>
      <c r="V22" s="1">
        <f t="shared" si="1"/>
        <v>2222.7000000001863</v>
      </c>
      <c r="W22" s="1">
        <f t="shared" si="1"/>
        <v>6397.8999999999069</v>
      </c>
      <c r="X22" s="1">
        <f t="shared" si="1"/>
        <v>2703.9999999995343</v>
      </c>
      <c r="Y22" s="1">
        <f t="shared" si="1"/>
        <v>-12787.399999999441</v>
      </c>
      <c r="Z22" s="1">
        <f t="shared" si="1"/>
        <v>19054.5</v>
      </c>
      <c r="AA22" s="1">
        <f t="shared" si="1"/>
        <v>14879.300000000279</v>
      </c>
      <c r="AB22" s="1">
        <f t="shared" si="1"/>
        <v>38180.499999999534</v>
      </c>
      <c r="AC22" s="1">
        <f t="shared" si="1"/>
        <v>26597.199999999721</v>
      </c>
      <c r="AD22" s="1">
        <f t="shared" si="1"/>
        <v>62106.200000000186</v>
      </c>
      <c r="AE22" s="1">
        <f t="shared" si="1"/>
        <v>14265.900000000373</v>
      </c>
      <c r="AF22" s="1">
        <f t="shared" si="1"/>
        <v>23935.999999999534</v>
      </c>
    </row>
    <row r="23" spans="2:32" x14ac:dyDescent="0.25"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2:32" s="15" customFormat="1" x14ac:dyDescent="0.25">
      <c r="B24" s="13" t="s">
        <v>23</v>
      </c>
      <c r="C24" s="13"/>
      <c r="D24" s="1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2:32" x14ac:dyDescent="0.25">
      <c r="B25" s="7" t="s">
        <v>2</v>
      </c>
      <c r="C25" s="7" t="s">
        <v>18</v>
      </c>
      <c r="D25" s="7" t="s">
        <v>3</v>
      </c>
      <c r="E25" s="9" t="s">
        <v>4</v>
      </c>
      <c r="F25" s="22"/>
      <c r="G25" s="9">
        <v>1995</v>
      </c>
      <c r="H25" s="9">
        <v>1996</v>
      </c>
      <c r="I25" s="9">
        <v>1997</v>
      </c>
      <c r="J25" s="9">
        <v>1998</v>
      </c>
      <c r="K25" s="9">
        <v>1999</v>
      </c>
      <c r="L25" s="9">
        <v>2000</v>
      </c>
      <c r="M25" s="9">
        <v>2001</v>
      </c>
      <c r="N25" s="9">
        <v>2002</v>
      </c>
      <c r="O25" s="9">
        <v>2003</v>
      </c>
      <c r="P25" s="9">
        <v>2004</v>
      </c>
      <c r="Q25" s="9">
        <v>2005</v>
      </c>
      <c r="R25" s="9">
        <v>2006</v>
      </c>
      <c r="S25" s="9">
        <v>2007</v>
      </c>
      <c r="T25" s="9">
        <v>2008</v>
      </c>
      <c r="U25" s="9">
        <v>2009</v>
      </c>
      <c r="V25" s="9">
        <v>2010</v>
      </c>
      <c r="W25" s="9">
        <v>2011</v>
      </c>
      <c r="X25" s="9">
        <v>2012</v>
      </c>
      <c r="Y25" s="9">
        <v>2013</v>
      </c>
      <c r="Z25" s="9">
        <v>2014</v>
      </c>
      <c r="AA25" s="9">
        <v>2015</v>
      </c>
      <c r="AB25" s="9">
        <v>2016</v>
      </c>
      <c r="AC25" s="9">
        <v>2017</v>
      </c>
      <c r="AD25" s="9">
        <v>2018</v>
      </c>
      <c r="AE25" s="9">
        <v>2019</v>
      </c>
      <c r="AF25" s="9">
        <v>2020</v>
      </c>
    </row>
    <row r="26" spans="2:32" x14ac:dyDescent="0.25">
      <c r="B26" s="6" t="s">
        <v>5</v>
      </c>
      <c r="C26" s="10" t="s">
        <v>6</v>
      </c>
      <c r="D26" s="23">
        <v>6</v>
      </c>
      <c r="E26" t="s">
        <v>7</v>
      </c>
      <c r="G26" s="20">
        <f>+IFERROR(G15/F4,0)</f>
        <v>4.0297754569243123E-2</v>
      </c>
      <c r="H26" s="20">
        <f t="shared" ref="H26:AF32" si="3">+IFERROR(H15/G4,0)</f>
        <v>4.0730489853636129E-3</v>
      </c>
      <c r="I26" s="20">
        <f t="shared" si="3"/>
        <v>-1.0189898406278543E-2</v>
      </c>
      <c r="J26" s="20">
        <f t="shared" si="3"/>
        <v>7.4429768872139616E-3</v>
      </c>
      <c r="K26" s="20">
        <f t="shared" si="3"/>
        <v>7.2974152953490939E-2</v>
      </c>
      <c r="L26" s="20">
        <f t="shared" si="3"/>
        <v>1.2135707373550648E-2</v>
      </c>
      <c r="M26" s="20">
        <f t="shared" si="3"/>
        <v>2.5345541392494696E-2</v>
      </c>
      <c r="N26" s="20">
        <f t="shared" si="3"/>
        <v>7.2934338671482107E-2</v>
      </c>
      <c r="O26" s="20">
        <f t="shared" si="3"/>
        <v>1.5746260881387471E-2</v>
      </c>
      <c r="P26" s="20">
        <f t="shared" si="3"/>
        <v>6.0456736307074408E-3</v>
      </c>
      <c r="Q26" s="20">
        <f t="shared" si="3"/>
        <v>8.8670102701369456E-3</v>
      </c>
      <c r="R26" s="20">
        <f t="shared" si="3"/>
        <v>5.1860112064833729E-2</v>
      </c>
      <c r="S26" s="20">
        <f t="shared" si="3"/>
        <v>6.9001832508636188E-2</v>
      </c>
      <c r="T26" s="20">
        <f t="shared" si="3"/>
        <v>5.1458097977613075E-2</v>
      </c>
      <c r="U26" s="20">
        <f t="shared" si="3"/>
        <v>3.4072809883123252E-3</v>
      </c>
      <c r="V26" s="20">
        <f t="shared" si="3"/>
        <v>6.1052873255414586E-4</v>
      </c>
      <c r="W26" s="20">
        <f t="shared" si="3"/>
        <v>2.3000075625554083E-3</v>
      </c>
      <c r="X26" s="20">
        <f t="shared" si="3"/>
        <v>5.369020312604519E-3</v>
      </c>
      <c r="Y26" s="20">
        <f t="shared" si="3"/>
        <v>-4.6976787354315397E-3</v>
      </c>
      <c r="Z26" s="20">
        <f t="shared" si="3"/>
        <v>1.1087906213843873E-2</v>
      </c>
      <c r="AA26" s="20">
        <f t="shared" si="3"/>
        <v>1.3408966610160149E-2</v>
      </c>
      <c r="AB26" s="20">
        <f t="shared" si="3"/>
        <v>9.2447222412176139E-3</v>
      </c>
      <c r="AC26" s="20">
        <f t="shared" si="3"/>
        <v>1.6340789336014478E-2</v>
      </c>
      <c r="AD26" s="20">
        <f t="shared" si="3"/>
        <v>3.1886004359230266E-2</v>
      </c>
      <c r="AE26" s="20">
        <f t="shared" si="3"/>
        <v>3.718715671391269E-3</v>
      </c>
      <c r="AF26" s="20">
        <f t="shared" si="3"/>
        <v>1.1735631174934464E-2</v>
      </c>
    </row>
    <row r="27" spans="2:32" x14ac:dyDescent="0.25">
      <c r="B27" s="10">
        <v>1000</v>
      </c>
      <c r="C27" s="10" t="s">
        <v>11</v>
      </c>
      <c r="D27" s="23">
        <v>6</v>
      </c>
      <c r="E27" t="s">
        <v>7</v>
      </c>
      <c r="G27" s="20">
        <f t="shared" ref="G27:V32" si="4">+IFERROR(G16/F5,0)</f>
        <v>7.4275185226855625E-2</v>
      </c>
      <c r="H27" s="20">
        <f t="shared" si="4"/>
        <v>0.10144340304544822</v>
      </c>
      <c r="I27" s="20">
        <f t="shared" si="4"/>
        <v>0.11023213328178967</v>
      </c>
      <c r="J27" s="20">
        <f t="shared" si="4"/>
        <v>0.57129358577455802</v>
      </c>
      <c r="K27" s="20">
        <f t="shared" si="4"/>
        <v>0.10422858143620221</v>
      </c>
      <c r="L27" s="20">
        <f t="shared" si="4"/>
        <v>8.299205449456333E-2</v>
      </c>
      <c r="M27" s="20">
        <f t="shared" si="4"/>
        <v>0.55890892842999695</v>
      </c>
      <c r="N27" s="20">
        <f t="shared" si="4"/>
        <v>-1.2142609275814779E-2</v>
      </c>
      <c r="O27" s="20">
        <f t="shared" si="4"/>
        <v>4.824219640782957E-2</v>
      </c>
      <c r="P27" s="20">
        <f t="shared" si="4"/>
        <v>2.9055755075175847E-2</v>
      </c>
      <c r="Q27" s="20">
        <f t="shared" si="4"/>
        <v>3.0551343736463964E-2</v>
      </c>
      <c r="R27" s="20">
        <f t="shared" si="4"/>
        <v>0.29237584040252035</v>
      </c>
      <c r="S27" s="20">
        <f t="shared" si="4"/>
        <v>0.14315419049693598</v>
      </c>
      <c r="T27" s="20">
        <f t="shared" si="4"/>
        <v>7.953485610194122E-2</v>
      </c>
      <c r="U27" s="20">
        <f t="shared" si="4"/>
        <v>-2.0234522328167752E-3</v>
      </c>
      <c r="V27" s="20">
        <f t="shared" si="4"/>
        <v>1.444845379058613E-3</v>
      </c>
      <c r="W27" s="20">
        <f t="shared" si="3"/>
        <v>7.674096515194676E-3</v>
      </c>
      <c r="X27" s="20">
        <f t="shared" si="3"/>
        <v>-1.5656843979378519E-2</v>
      </c>
      <c r="Y27" s="20">
        <f t="shared" si="3"/>
        <v>9.395616317647194E-3</v>
      </c>
      <c r="Z27" s="20">
        <f t="shared" si="3"/>
        <v>-3.5003715333017269E-3</v>
      </c>
      <c r="AA27" s="20">
        <f t="shared" si="3"/>
        <v>1.0566269722559946E-4</v>
      </c>
      <c r="AB27" s="20">
        <f t="shared" si="3"/>
        <v>5.0804117940042033E-2</v>
      </c>
      <c r="AC27" s="20">
        <f t="shared" si="3"/>
        <v>-1.2395839535692624E-2</v>
      </c>
      <c r="AD27" s="20">
        <f t="shared" si="3"/>
        <v>-8.0109008541611459E-3</v>
      </c>
      <c r="AE27" s="20">
        <f t="shared" si="3"/>
        <v>-6.6268116106227022E-4</v>
      </c>
      <c r="AF27" s="20">
        <f t="shared" si="3"/>
        <v>1.4947154409738738E-2</v>
      </c>
    </row>
    <row r="28" spans="2:32" x14ac:dyDescent="0.25">
      <c r="B28" s="10">
        <v>1100</v>
      </c>
      <c r="C28" s="10" t="s">
        <v>17</v>
      </c>
      <c r="D28" s="23">
        <v>6</v>
      </c>
      <c r="E28" t="s">
        <v>7</v>
      </c>
      <c r="G28" s="20">
        <f t="shared" si="4"/>
        <v>0.53265621747018399</v>
      </c>
      <c r="H28" s="20">
        <f t="shared" si="3"/>
        <v>9.2562945713869534E-3</v>
      </c>
      <c r="I28" s="20">
        <f t="shared" si="3"/>
        <v>0</v>
      </c>
      <c r="J28" s="20">
        <f t="shared" si="3"/>
        <v>0</v>
      </c>
      <c r="K28" s="20">
        <f t="shared" si="3"/>
        <v>3.7108605158673287E-3</v>
      </c>
      <c r="L28" s="20">
        <f t="shared" si="3"/>
        <v>0.12752262822661747</v>
      </c>
      <c r="M28" s="20">
        <f t="shared" si="3"/>
        <v>0</v>
      </c>
      <c r="N28" s="20">
        <f t="shared" si="3"/>
        <v>0</v>
      </c>
      <c r="O28" s="20">
        <f t="shared" si="3"/>
        <v>-1.642895369481559E-2</v>
      </c>
      <c r="P28" s="20">
        <f t="shared" si="3"/>
        <v>0</v>
      </c>
      <c r="Q28" s="20">
        <f t="shared" si="3"/>
        <v>-1.0251759727080428E-2</v>
      </c>
      <c r="R28" s="20">
        <f t="shared" si="3"/>
        <v>-3.6859282011902444E-2</v>
      </c>
      <c r="S28" s="20">
        <f t="shared" si="3"/>
        <v>5.6535053545218655E-3</v>
      </c>
      <c r="T28" s="20">
        <f t="shared" si="3"/>
        <v>0</v>
      </c>
      <c r="U28" s="20">
        <f t="shared" si="3"/>
        <v>0</v>
      </c>
      <c r="V28" s="20">
        <f t="shared" si="3"/>
        <v>0</v>
      </c>
      <c r="W28" s="20">
        <f t="shared" si="3"/>
        <v>0</v>
      </c>
      <c r="X28" s="20">
        <f t="shared" si="3"/>
        <v>0</v>
      </c>
      <c r="Y28" s="20">
        <f t="shared" si="3"/>
        <v>0</v>
      </c>
      <c r="Z28" s="20">
        <f t="shared" si="3"/>
        <v>0</v>
      </c>
      <c r="AA28" s="20">
        <f t="shared" si="3"/>
        <v>0</v>
      </c>
      <c r="AB28" s="20">
        <f t="shared" si="3"/>
        <v>-1.8243571956251464E-2</v>
      </c>
      <c r="AC28" s="20">
        <f t="shared" si="3"/>
        <v>-2.2014627476530851E-2</v>
      </c>
      <c r="AD28" s="20">
        <f t="shared" si="3"/>
        <v>0</v>
      </c>
      <c r="AE28" s="20">
        <f t="shared" si="3"/>
        <v>-4.2130350742206951E-3</v>
      </c>
      <c r="AF28" s="20">
        <f t="shared" si="3"/>
        <v>0</v>
      </c>
    </row>
    <row r="29" spans="2:32" x14ac:dyDescent="0.25">
      <c r="B29" s="10">
        <v>1300</v>
      </c>
      <c r="C29" s="10" t="s">
        <v>13</v>
      </c>
      <c r="D29" s="23">
        <v>6</v>
      </c>
      <c r="E29" t="s">
        <v>7</v>
      </c>
      <c r="G29" s="20">
        <f t="shared" si="4"/>
        <v>0.19093000548399608</v>
      </c>
      <c r="H29" s="20">
        <f t="shared" si="3"/>
        <v>-6.3360943422715102E-2</v>
      </c>
      <c r="I29" s="20">
        <f t="shared" si="3"/>
        <v>7.6226677538490925E-2</v>
      </c>
      <c r="J29" s="20">
        <f t="shared" si="3"/>
        <v>0</v>
      </c>
      <c r="K29" s="20">
        <f t="shared" si="3"/>
        <v>8.7573674417568623E-3</v>
      </c>
      <c r="L29" s="20">
        <f t="shared" si="3"/>
        <v>0.43014612487436354</v>
      </c>
      <c r="M29" s="20">
        <f t="shared" si="3"/>
        <v>1.1368199932037991E-2</v>
      </c>
      <c r="N29" s="20">
        <f t="shared" si="3"/>
        <v>-1.3107455939399465E-2</v>
      </c>
      <c r="O29" s="20">
        <f t="shared" si="3"/>
        <v>-2.4179914035569621E-3</v>
      </c>
      <c r="P29" s="20">
        <f t="shared" si="3"/>
        <v>2.1837939298983089E-2</v>
      </c>
      <c r="Q29" s="20">
        <f t="shared" si="3"/>
        <v>0.77885648139362762</v>
      </c>
      <c r="R29" s="20">
        <f t="shared" si="3"/>
        <v>0.3296700248772142</v>
      </c>
      <c r="S29" s="20">
        <f t="shared" si="3"/>
        <v>0.16848491461268023</v>
      </c>
      <c r="T29" s="20">
        <f t="shared" si="3"/>
        <v>0.32258157539871091</v>
      </c>
      <c r="U29" s="20">
        <f t="shared" si="3"/>
        <v>0</v>
      </c>
      <c r="V29" s="20">
        <f t="shared" si="3"/>
        <v>0</v>
      </c>
      <c r="W29" s="20">
        <f t="shared" si="3"/>
        <v>0</v>
      </c>
      <c r="X29" s="20">
        <f t="shared" si="3"/>
        <v>-4.6099552190620327E-4</v>
      </c>
      <c r="Y29" s="20">
        <f t="shared" si="3"/>
        <v>3.0435582000002078E-3</v>
      </c>
      <c r="Z29" s="20">
        <f t="shared" si="3"/>
        <v>7.9285929543640495E-3</v>
      </c>
      <c r="AA29" s="20">
        <f t="shared" si="3"/>
        <v>1.0274588374303255E-5</v>
      </c>
      <c r="AB29" s="20">
        <f t="shared" si="3"/>
        <v>3.7654952043851435E-2</v>
      </c>
      <c r="AC29" s="20">
        <f t="shared" si="3"/>
        <v>1.7508074785085082E-2</v>
      </c>
      <c r="AD29" s="20">
        <f t="shared" si="3"/>
        <v>1.7189300283374277E-2</v>
      </c>
      <c r="AE29" s="20">
        <f t="shared" si="3"/>
        <v>2.087096280422476E-2</v>
      </c>
      <c r="AF29" s="20">
        <f t="shared" si="3"/>
        <v>-3.0615802139639884E-3</v>
      </c>
    </row>
    <row r="30" spans="2:32" x14ac:dyDescent="0.25">
      <c r="B30" s="10">
        <v>1400</v>
      </c>
      <c r="C30" s="10" t="s">
        <v>14</v>
      </c>
      <c r="D30" s="23">
        <v>6</v>
      </c>
      <c r="E30" t="s">
        <v>7</v>
      </c>
      <c r="G30" s="20">
        <f t="shared" si="4"/>
        <v>0.11343869969530707</v>
      </c>
      <c r="H30" s="20">
        <f t="shared" si="3"/>
        <v>0.19268242171876451</v>
      </c>
      <c r="I30" s="20">
        <f t="shared" si="3"/>
        <v>1.5573099058642133E-2</v>
      </c>
      <c r="J30" s="20">
        <f t="shared" si="3"/>
        <v>5.2753164680869311E-2</v>
      </c>
      <c r="K30" s="20">
        <f t="shared" si="3"/>
        <v>3.509502733663112E-2</v>
      </c>
      <c r="L30" s="20">
        <f t="shared" si="3"/>
        <v>2.5105459458294004E-2</v>
      </c>
      <c r="M30" s="20">
        <f t="shared" si="3"/>
        <v>5.050830783323354E-2</v>
      </c>
      <c r="N30" s="20">
        <f t="shared" si="3"/>
        <v>4.3171676817467884E-2</v>
      </c>
      <c r="O30" s="20">
        <f t="shared" si="3"/>
        <v>3.3083704010133329E-3</v>
      </c>
      <c r="P30" s="20">
        <f t="shared" si="3"/>
        <v>0.1209869642422587</v>
      </c>
      <c r="Q30" s="20">
        <f t="shared" si="3"/>
        <v>-2.1215703412428189E-3</v>
      </c>
      <c r="R30" s="20">
        <f t="shared" si="3"/>
        <v>4.8265268025851085E-2</v>
      </c>
      <c r="S30" s="20">
        <f t="shared" si="3"/>
        <v>0.10064461637033774</v>
      </c>
      <c r="T30" s="20">
        <f t="shared" si="3"/>
        <v>0.22874871449473563</v>
      </c>
      <c r="U30" s="20">
        <f t="shared" si="3"/>
        <v>6.8803653910457563E-2</v>
      </c>
      <c r="V30" s="20">
        <f t="shared" si="3"/>
        <v>-1.197495166132443E-4</v>
      </c>
      <c r="W30" s="20">
        <f t="shared" si="3"/>
        <v>7.085505751486859E-4</v>
      </c>
      <c r="X30" s="20">
        <f t="shared" si="3"/>
        <v>2.2720223568002823E-3</v>
      </c>
      <c r="Y30" s="20">
        <f t="shared" si="3"/>
        <v>-5.8245981241103133E-2</v>
      </c>
      <c r="Z30" s="20">
        <f t="shared" si="3"/>
        <v>4.5286986861994959E-3</v>
      </c>
      <c r="AA30" s="20">
        <f t="shared" si="3"/>
        <v>-3.7982044851524732E-2</v>
      </c>
      <c r="AB30" s="20">
        <f t="shared" si="3"/>
        <v>4.4355448088258314E-3</v>
      </c>
      <c r="AC30" s="20">
        <f t="shared" si="3"/>
        <v>2.6926604281091962E-2</v>
      </c>
      <c r="AD30" s="20">
        <f t="shared" si="3"/>
        <v>5.0816179609461797E-2</v>
      </c>
      <c r="AE30" s="20">
        <f t="shared" si="3"/>
        <v>3.8660272404686599E-2</v>
      </c>
      <c r="AF30" s="20">
        <f t="shared" si="3"/>
        <v>3.0215867723815963E-3</v>
      </c>
    </row>
    <row r="31" spans="2:32" x14ac:dyDescent="0.25">
      <c r="B31" s="10">
        <v>1604</v>
      </c>
      <c r="C31" s="10" t="s">
        <v>15</v>
      </c>
      <c r="D31" s="23">
        <v>6</v>
      </c>
      <c r="E31" t="s">
        <v>7</v>
      </c>
      <c r="G31" s="20">
        <f t="shared" si="4"/>
        <v>0.16122203929044485</v>
      </c>
      <c r="H31" s="20">
        <f t="shared" si="3"/>
        <v>0.28555438293517527</v>
      </c>
      <c r="I31" s="20">
        <f t="shared" si="3"/>
        <v>0.40705176045242725</v>
      </c>
      <c r="J31" s="20">
        <f t="shared" si="3"/>
        <v>-9.25260192595561E-3</v>
      </c>
      <c r="K31" s="20">
        <f t="shared" si="3"/>
        <v>1.7071952031978681E-2</v>
      </c>
      <c r="L31" s="20">
        <f t="shared" si="3"/>
        <v>9.4044987191633771E-3</v>
      </c>
      <c r="M31" s="20">
        <f t="shared" si="3"/>
        <v>4.7279680166868619E-3</v>
      </c>
      <c r="N31" s="20">
        <f t="shared" si="3"/>
        <v>5.2783640704474069E-2</v>
      </c>
      <c r="O31" s="20">
        <f t="shared" si="3"/>
        <v>2.28145421480179E-2</v>
      </c>
      <c r="P31" s="20">
        <f t="shared" si="3"/>
        <v>5.5177695422120303E-2</v>
      </c>
      <c r="Q31" s="20">
        <f t="shared" si="3"/>
        <v>7.658848787221945E-3</v>
      </c>
      <c r="R31" s="20">
        <f t="shared" si="3"/>
        <v>0.20321251561429668</v>
      </c>
      <c r="S31" s="20">
        <f t="shared" si="3"/>
        <v>3.0977767172782496E-4</v>
      </c>
      <c r="T31" s="20">
        <f t="shared" si="3"/>
        <v>1.8233558619823845E-2</v>
      </c>
      <c r="U31" s="20">
        <f t="shared" si="3"/>
        <v>8.7541921483524335E-4</v>
      </c>
      <c r="V31" s="20">
        <f t="shared" si="3"/>
        <v>3.2485371111795447E-2</v>
      </c>
      <c r="W31" s="20">
        <f t="shared" si="3"/>
        <v>0</v>
      </c>
      <c r="X31" s="20">
        <f t="shared" si="3"/>
        <v>0</v>
      </c>
      <c r="Y31" s="20">
        <f t="shared" si="3"/>
        <v>0</v>
      </c>
      <c r="Z31" s="20">
        <f t="shared" si="3"/>
        <v>8.1515773397604255E-2</v>
      </c>
      <c r="AA31" s="20">
        <f t="shared" si="3"/>
        <v>0</v>
      </c>
      <c r="AB31" s="20">
        <f t="shared" si="3"/>
        <v>4.3209331744700881E-2</v>
      </c>
      <c r="AC31" s="20">
        <f t="shared" si="3"/>
        <v>7.6917111413484368E-3</v>
      </c>
      <c r="AD31" s="20">
        <f t="shared" si="3"/>
        <v>0.16965410125094435</v>
      </c>
      <c r="AE31" s="20">
        <f t="shared" si="3"/>
        <v>4.5908326903176802E-3</v>
      </c>
      <c r="AF31" s="20">
        <f t="shared" si="3"/>
        <v>-3.676424618260949E-2</v>
      </c>
    </row>
    <row r="32" spans="2:32" x14ac:dyDescent="0.25">
      <c r="B32" s="16">
        <v>1606</v>
      </c>
      <c r="C32" s="16" t="s">
        <v>16</v>
      </c>
      <c r="D32" s="24">
        <v>6</v>
      </c>
      <c r="E32" s="18" t="s">
        <v>7</v>
      </c>
      <c r="F32" s="18"/>
      <c r="G32" s="21">
        <f t="shared" si="4"/>
        <v>0</v>
      </c>
      <c r="H32" s="21">
        <f t="shared" si="3"/>
        <v>0</v>
      </c>
      <c r="I32" s="21">
        <f t="shared" si="3"/>
        <v>0</v>
      </c>
      <c r="J32" s="21">
        <f t="shared" si="3"/>
        <v>0</v>
      </c>
      <c r="K32" s="21">
        <f t="shared" si="3"/>
        <v>0</v>
      </c>
      <c r="L32" s="21">
        <f t="shared" si="3"/>
        <v>0</v>
      </c>
      <c r="M32" s="21">
        <f t="shared" si="3"/>
        <v>0</v>
      </c>
      <c r="N32" s="21">
        <f t="shared" si="3"/>
        <v>0</v>
      </c>
      <c r="O32" s="21">
        <f t="shared" si="3"/>
        <v>0</v>
      </c>
      <c r="P32" s="21">
        <f t="shared" si="3"/>
        <v>0</v>
      </c>
      <c r="Q32" s="21">
        <f t="shared" si="3"/>
        <v>0</v>
      </c>
      <c r="R32" s="21">
        <f t="shared" si="3"/>
        <v>0</v>
      </c>
      <c r="S32" s="21">
        <f t="shared" si="3"/>
        <v>0</v>
      </c>
      <c r="T32" s="21">
        <f t="shared" si="3"/>
        <v>0</v>
      </c>
      <c r="U32" s="21">
        <f t="shared" si="3"/>
        <v>0</v>
      </c>
      <c r="V32" s="21">
        <f t="shared" si="3"/>
        <v>0</v>
      </c>
      <c r="W32" s="21">
        <f t="shared" si="3"/>
        <v>0</v>
      </c>
      <c r="X32" s="21">
        <f t="shared" si="3"/>
        <v>0</v>
      </c>
      <c r="Y32" s="21">
        <f t="shared" si="3"/>
        <v>0</v>
      </c>
      <c r="Z32" s="21">
        <f t="shared" si="3"/>
        <v>0</v>
      </c>
      <c r="AA32" s="21">
        <f t="shared" si="3"/>
        <v>0</v>
      </c>
      <c r="AB32" s="21">
        <f t="shared" si="3"/>
        <v>0</v>
      </c>
      <c r="AC32" s="21">
        <f t="shared" si="3"/>
        <v>0</v>
      </c>
      <c r="AD32" s="21">
        <f t="shared" si="3"/>
        <v>0</v>
      </c>
      <c r="AE32" s="21">
        <f t="shared" si="3"/>
        <v>0</v>
      </c>
      <c r="AF32" s="21">
        <f t="shared" si="3"/>
        <v>0</v>
      </c>
    </row>
    <row r="33" spans="2:32" x14ac:dyDescent="0.25">
      <c r="C33" s="10" t="s">
        <v>21</v>
      </c>
      <c r="D33" s="23">
        <v>6</v>
      </c>
      <c r="E33" t="s">
        <v>7</v>
      </c>
      <c r="G33" s="20">
        <f t="shared" ref="G33:V33" si="5">+G22/F11</f>
        <v>5.134442789366904E-2</v>
      </c>
      <c r="H33" s="20">
        <f t="shared" si="5"/>
        <v>2.0075804176956528E-2</v>
      </c>
      <c r="I33" s="20">
        <f t="shared" si="5"/>
        <v>3.159003851091411E-3</v>
      </c>
      <c r="J33" s="20">
        <f t="shared" si="5"/>
        <v>4.277150339802549E-2</v>
      </c>
      <c r="K33" s="20">
        <f t="shared" si="5"/>
        <v>7.1112374711174126E-2</v>
      </c>
      <c r="L33" s="20">
        <f t="shared" si="5"/>
        <v>2.5749478076882486E-2</v>
      </c>
      <c r="M33" s="20">
        <f t="shared" si="5"/>
        <v>7.7204937295896073E-2</v>
      </c>
      <c r="N33" s="20">
        <f t="shared" si="5"/>
        <v>5.7082342158003771E-2</v>
      </c>
      <c r="O33" s="20">
        <f t="shared" si="5"/>
        <v>1.8766912890351737E-2</v>
      </c>
      <c r="P33" s="20">
        <f t="shared" si="5"/>
        <v>1.6547139317309056E-2</v>
      </c>
      <c r="Q33" s="20">
        <f t="shared" si="5"/>
        <v>2.3236187993414904E-2</v>
      </c>
      <c r="R33" s="20">
        <f t="shared" si="5"/>
        <v>9.3172885996404345E-2</v>
      </c>
      <c r="S33" s="20">
        <f t="shared" si="5"/>
        <v>8.4884512822602884E-2</v>
      </c>
      <c r="T33" s="20">
        <f t="shared" si="5"/>
        <v>7.6141437981955037E-2</v>
      </c>
      <c r="U33" s="20">
        <f t="shared" si="5"/>
        <v>6.8176377860066136E-3</v>
      </c>
      <c r="V33" s="20">
        <f t="shared" si="5"/>
        <v>1.0247316850707682E-3</v>
      </c>
      <c r="W33" s="20">
        <f t="shared" ref="W33:AF33" si="6">+W22/V11</f>
        <v>2.9466052325028561E-3</v>
      </c>
      <c r="X33" s="20">
        <f t="shared" si="6"/>
        <v>1.2416905690568387E-3</v>
      </c>
      <c r="Y33" s="20">
        <f t="shared" si="6"/>
        <v>-5.8647569813739106E-3</v>
      </c>
      <c r="Z33" s="20">
        <f t="shared" si="6"/>
        <v>8.7906270956426853E-3</v>
      </c>
      <c r="AA33" s="20">
        <f t="shared" si="6"/>
        <v>6.8046181933411384E-3</v>
      </c>
      <c r="AB33" s="20">
        <f t="shared" si="6"/>
        <v>1.7342738443405375E-2</v>
      </c>
      <c r="AC33" s="20">
        <f t="shared" si="6"/>
        <v>1.1875302801870709E-2</v>
      </c>
      <c r="AD33" s="20">
        <f t="shared" si="6"/>
        <v>2.7404175158649343E-2</v>
      </c>
      <c r="AE33" s="20">
        <f t="shared" si="6"/>
        <v>6.1268835542531578E-3</v>
      </c>
      <c r="AF33" s="20">
        <f t="shared" si="6"/>
        <v>1.0217373598845975E-2</v>
      </c>
    </row>
    <row r="35" spans="2:32" x14ac:dyDescent="0.25">
      <c r="B35" s="13" t="s">
        <v>31</v>
      </c>
      <c r="C35" s="13"/>
      <c r="D35" s="14"/>
      <c r="E35" s="2"/>
      <c r="F35" s="2"/>
      <c r="G35" s="2"/>
      <c r="H35" s="2"/>
      <c r="I35" s="2"/>
      <c r="J35" s="2"/>
    </row>
    <row r="36" spans="2:32" x14ac:dyDescent="0.25">
      <c r="B36" s="7" t="s">
        <v>2</v>
      </c>
      <c r="C36" s="7" t="s">
        <v>18</v>
      </c>
      <c r="D36" s="7" t="s">
        <v>3</v>
      </c>
      <c r="E36" s="9" t="s">
        <v>4</v>
      </c>
      <c r="F36" s="22" t="s">
        <v>24</v>
      </c>
      <c r="G36" s="22" t="s">
        <v>25</v>
      </c>
      <c r="H36" s="22" t="s">
        <v>26</v>
      </c>
      <c r="I36" s="22" t="s">
        <v>28</v>
      </c>
      <c r="J36" s="22" t="s">
        <v>27</v>
      </c>
    </row>
    <row r="37" spans="2:32" x14ac:dyDescent="0.25">
      <c r="B37" s="6" t="s">
        <v>5</v>
      </c>
      <c r="C37" s="10" t="s">
        <v>6</v>
      </c>
      <c r="D37" s="23">
        <v>6</v>
      </c>
      <c r="E37" t="s">
        <v>7</v>
      </c>
      <c r="F37" s="1">
        <f>+AVERAGE(G15:AF15)</f>
        <v>26084.899999999998</v>
      </c>
      <c r="G37" s="1">
        <f>+AVERAGE(Q15:AF15)</f>
        <v>25508.368749999994</v>
      </c>
      <c r="H37" s="1">
        <f>+AVERAGE(X15:AF15)</f>
        <v>17206.788888888874</v>
      </c>
      <c r="I37" s="1">
        <f>+AVERAGE(N15:P15)</f>
        <v>37058.866666666698</v>
      </c>
      <c r="J37" s="1">
        <f t="shared" ref="J37:J44" si="7">+AVERAGE(U15:Y15)</f>
        <v>2104.9399999999905</v>
      </c>
    </row>
    <row r="38" spans="2:32" x14ac:dyDescent="0.25">
      <c r="B38" s="10">
        <v>1000</v>
      </c>
      <c r="C38" s="10" t="s">
        <v>11</v>
      </c>
      <c r="D38" s="23">
        <v>6</v>
      </c>
      <c r="E38" t="s">
        <v>7</v>
      </c>
      <c r="F38" s="1">
        <f t="shared" ref="F38:F44" si="8">+AVERAGE(G16:AF16)</f>
        <v>12549.246153846154</v>
      </c>
      <c r="G38" s="1">
        <f t="shared" ref="G38:G44" si="9">+AVERAGE(Q16:AF16)</f>
        <v>9885.85</v>
      </c>
      <c r="H38" s="1">
        <f t="shared" ref="H38:H44" si="10">+AVERAGE(X16:AF16)</f>
        <v>1388.0555555555557</v>
      </c>
      <c r="I38" s="1">
        <f t="shared" ref="I38:I44" si="11">+AVERAGE(N16:P16)</f>
        <v>4562.2999999999984</v>
      </c>
      <c r="J38" s="1">
        <f t="shared" si="7"/>
        <v>46.360000000009315</v>
      </c>
    </row>
    <row r="39" spans="2:32" x14ac:dyDescent="0.25">
      <c r="B39" s="10">
        <v>1100</v>
      </c>
      <c r="C39" s="10" t="s">
        <v>17</v>
      </c>
      <c r="D39" s="23">
        <v>6</v>
      </c>
      <c r="E39" t="s">
        <v>7</v>
      </c>
      <c r="F39" s="1">
        <f t="shared" si="8"/>
        <v>149.53461538461536</v>
      </c>
      <c r="G39" s="1">
        <f t="shared" si="9"/>
        <v>-60.375</v>
      </c>
      <c r="H39" s="1">
        <f t="shared" si="10"/>
        <v>-54.14444444444436</v>
      </c>
      <c r="I39" s="1">
        <f t="shared" si="11"/>
        <v>-64.466666666666541</v>
      </c>
      <c r="J39" s="1">
        <f t="shared" si="7"/>
        <v>0</v>
      </c>
    </row>
    <row r="40" spans="2:32" x14ac:dyDescent="0.25">
      <c r="B40" s="10">
        <v>1300</v>
      </c>
      <c r="C40" s="10" t="s">
        <v>13</v>
      </c>
      <c r="D40" s="23">
        <v>6</v>
      </c>
      <c r="E40" t="s">
        <v>7</v>
      </c>
      <c r="F40" s="1">
        <f t="shared" si="8"/>
        <v>3516.55</v>
      </c>
      <c r="G40" s="1">
        <f t="shared" si="9"/>
        <v>5002.1499999999996</v>
      </c>
      <c r="H40" s="1">
        <f t="shared" si="10"/>
        <v>1118.8444444444435</v>
      </c>
      <c r="I40" s="1">
        <f t="shared" si="11"/>
        <v>52.433333333333088</v>
      </c>
      <c r="J40" s="1">
        <f t="shared" si="7"/>
        <v>49.719999999998251</v>
      </c>
    </row>
    <row r="41" spans="2:32" x14ac:dyDescent="0.25">
      <c r="B41" s="10">
        <v>1400</v>
      </c>
      <c r="C41" s="10" t="s">
        <v>14</v>
      </c>
      <c r="D41" s="23">
        <v>6</v>
      </c>
      <c r="E41" t="s">
        <v>7</v>
      </c>
      <c r="F41" s="1">
        <f t="shared" si="8"/>
        <v>4137.3576923076926</v>
      </c>
      <c r="G41" s="1">
        <f t="shared" si="9"/>
        <v>3680.9187500000007</v>
      </c>
      <c r="H41" s="1">
        <f t="shared" si="10"/>
        <v>532.12222222222283</v>
      </c>
      <c r="I41" s="1">
        <f t="shared" si="11"/>
        <v>5192.3666666666641</v>
      </c>
      <c r="J41" s="1">
        <f t="shared" si="7"/>
        <v>281.47999999999882</v>
      </c>
    </row>
    <row r="42" spans="2:32" x14ac:dyDescent="0.25">
      <c r="B42" s="10">
        <v>1604</v>
      </c>
      <c r="C42" s="10" t="s">
        <v>15</v>
      </c>
      <c r="D42" s="23">
        <v>6</v>
      </c>
      <c r="E42" t="s">
        <v>7</v>
      </c>
      <c r="F42" s="1">
        <f t="shared" si="8"/>
        <v>933.71153846153845</v>
      </c>
      <c r="G42" s="1">
        <f t="shared" si="9"/>
        <v>790.75624999999991</v>
      </c>
      <c r="H42" s="1">
        <f t="shared" si="10"/>
        <v>801.24444444444453</v>
      </c>
      <c r="I42" s="1">
        <f t="shared" si="11"/>
        <v>787.36666666666736</v>
      </c>
      <c r="J42" s="1">
        <f t="shared" si="7"/>
        <v>162.47999999999956</v>
      </c>
    </row>
    <row r="43" spans="2:32" x14ac:dyDescent="0.25">
      <c r="B43" s="16">
        <v>1606</v>
      </c>
      <c r="C43" s="16" t="s">
        <v>16</v>
      </c>
      <c r="D43" s="24">
        <v>6</v>
      </c>
      <c r="E43" s="18" t="s">
        <v>7</v>
      </c>
      <c r="F43" s="3">
        <f t="shared" si="8"/>
        <v>0</v>
      </c>
      <c r="G43" s="3">
        <f t="shared" si="9"/>
        <v>0</v>
      </c>
      <c r="H43" s="3">
        <f t="shared" si="10"/>
        <v>0</v>
      </c>
      <c r="I43" s="3">
        <f t="shared" si="11"/>
        <v>0</v>
      </c>
      <c r="J43" s="3">
        <f t="shared" si="7"/>
        <v>0</v>
      </c>
    </row>
    <row r="44" spans="2:32" x14ac:dyDescent="0.25">
      <c r="C44" s="10" t="s">
        <v>21</v>
      </c>
      <c r="D44" s="23">
        <v>6</v>
      </c>
      <c r="E44" t="s">
        <v>7</v>
      </c>
      <c r="F44" s="1">
        <f t="shared" si="8"/>
        <v>47371.299999999981</v>
      </c>
      <c r="G44" s="1">
        <f t="shared" si="9"/>
        <v>44807.668749999997</v>
      </c>
      <c r="H44" s="1">
        <f t="shared" si="10"/>
        <v>20992.91111111108</v>
      </c>
      <c r="I44" s="1">
        <f t="shared" si="11"/>
        <v>47588.866666666698</v>
      </c>
      <c r="J44" s="1">
        <f t="shared" si="7"/>
        <v>2644.9799999999814</v>
      </c>
    </row>
    <row r="45" spans="2:32" x14ac:dyDescent="0.25">
      <c r="C45" s="10" t="s">
        <v>33</v>
      </c>
      <c r="D45" s="12"/>
      <c r="F45" s="19">
        <f>+F37/F44</f>
        <v>0.55064775507533059</v>
      </c>
      <c r="G45" s="19">
        <f t="shared" ref="G45:J45" si="12">+G37/G44</f>
        <v>0.56928578213522874</v>
      </c>
      <c r="H45" s="19">
        <f t="shared" si="12"/>
        <v>0.81964758474024613</v>
      </c>
      <c r="I45" s="19">
        <f t="shared" si="12"/>
        <v>0.77872975892120444</v>
      </c>
      <c r="J45" s="19">
        <f t="shared" si="12"/>
        <v>0.79582454309673623</v>
      </c>
    </row>
    <row r="47" spans="2:32" x14ac:dyDescent="0.25">
      <c r="B47" s="13" t="s">
        <v>29</v>
      </c>
      <c r="C47" s="13"/>
      <c r="D47" s="14"/>
      <c r="E47" s="2"/>
      <c r="F47" s="2"/>
      <c r="G47" s="2"/>
      <c r="H47" s="2"/>
      <c r="I47" s="2"/>
      <c r="J47" s="2"/>
    </row>
    <row r="48" spans="2:32" x14ac:dyDescent="0.25">
      <c r="B48" s="7" t="s">
        <v>2</v>
      </c>
      <c r="C48" s="7" t="s">
        <v>18</v>
      </c>
      <c r="D48" s="7" t="s">
        <v>3</v>
      </c>
      <c r="E48" s="9" t="s">
        <v>4</v>
      </c>
      <c r="F48" s="22" t="s">
        <v>24</v>
      </c>
      <c r="G48" s="22" t="s">
        <v>25</v>
      </c>
      <c r="H48" s="22" t="s">
        <v>26</v>
      </c>
      <c r="I48" s="22" t="s">
        <v>28</v>
      </c>
      <c r="J48" s="22" t="s">
        <v>27</v>
      </c>
    </row>
    <row r="49" spans="2:11" x14ac:dyDescent="0.25">
      <c r="B49" s="6" t="s">
        <v>5</v>
      </c>
      <c r="C49" s="10" t="s">
        <v>6</v>
      </c>
      <c r="D49" s="23">
        <v>6</v>
      </c>
      <c r="E49" t="s">
        <v>7</v>
      </c>
      <c r="F49" s="20">
        <f t="shared" ref="F49:F56" si="13">+AVERAGE(G26:AF26)</f>
        <v>2.0477096316433165E-2</v>
      </c>
      <c r="G49" s="20">
        <f>+AVERAGE(Q26:AF26)</f>
        <v>1.7849934205537935E-2</v>
      </c>
      <c r="H49" s="20">
        <f>+AVERAGE(X26:AF26)</f>
        <v>1.0899341909329455E-2</v>
      </c>
      <c r="I49" s="20">
        <f>+AVERAGE(N26:P26)</f>
        <v>3.1575424394525674E-2</v>
      </c>
      <c r="J49" s="20">
        <f t="shared" ref="J49:J56" si="14">+AVERAGE(U26:Y26)</f>
        <v>1.3978317721189718E-3</v>
      </c>
    </row>
    <row r="50" spans="2:11" x14ac:dyDescent="0.25">
      <c r="B50" s="10">
        <v>1000</v>
      </c>
      <c r="C50" s="10" t="s">
        <v>11</v>
      </c>
      <c r="D50" s="23">
        <v>6</v>
      </c>
      <c r="E50" t="s">
        <v>7</v>
      </c>
      <c r="F50" s="20">
        <f t="shared" si="13"/>
        <v>8.677949417680611E-2</v>
      </c>
      <c r="G50" s="20">
        <f t="shared" ref="G50:G56" si="15">+AVERAGE(Q27:AF27)</f>
        <v>3.6733602168772202E-2</v>
      </c>
      <c r="H50" s="20">
        <f t="shared" ref="H50:H56" si="16">+AVERAGE(X27:AF27)</f>
        <v>3.8917682556730312E-3</v>
      </c>
      <c r="I50" s="20">
        <f t="shared" ref="I50:I56" si="17">+AVERAGE(N27:P27)</f>
        <v>2.1718447402396878E-2</v>
      </c>
      <c r="J50" s="20">
        <f t="shared" si="14"/>
        <v>1.6685239994103756E-4</v>
      </c>
    </row>
    <row r="51" spans="2:11" x14ac:dyDescent="0.25">
      <c r="B51" s="10">
        <v>1100</v>
      </c>
      <c r="C51" s="10" t="s">
        <v>17</v>
      </c>
      <c r="D51" s="23">
        <v>6</v>
      </c>
      <c r="E51" t="s">
        <v>7</v>
      </c>
      <c r="F51" s="20">
        <f t="shared" si="13"/>
        <v>2.1953395238376007E-2</v>
      </c>
      <c r="G51" s="20">
        <f t="shared" si="15"/>
        <v>-5.370548180716501E-3</v>
      </c>
      <c r="H51" s="20">
        <f t="shared" si="16"/>
        <v>-4.9412482785558907E-3</v>
      </c>
      <c r="I51" s="20">
        <f t="shared" si="17"/>
        <v>-5.4763178982718637E-3</v>
      </c>
      <c r="J51" s="20">
        <f t="shared" si="14"/>
        <v>0</v>
      </c>
    </row>
    <row r="52" spans="2:11" x14ac:dyDescent="0.25">
      <c r="B52" s="10">
        <v>1300</v>
      </c>
      <c r="C52" s="10" t="s">
        <v>13</v>
      </c>
      <c r="D52" s="23">
        <v>6</v>
      </c>
      <c r="E52" t="s">
        <v>7</v>
      </c>
      <c r="F52" s="20">
        <f t="shared" si="13"/>
        <v>9.0794463846522858E-2</v>
      </c>
      <c r="G52" s="20">
        <f t="shared" si="15"/>
        <v>0.10626725851285231</v>
      </c>
      <c r="H52" s="20">
        <f t="shared" si="16"/>
        <v>1.118701554704488E-2</v>
      </c>
      <c r="I52" s="20">
        <f t="shared" si="17"/>
        <v>2.1041639853422206E-3</v>
      </c>
      <c r="J52" s="20">
        <f t="shared" si="14"/>
        <v>5.1651253561880094E-4</v>
      </c>
    </row>
    <row r="53" spans="2:11" x14ac:dyDescent="0.25">
      <c r="B53" s="10">
        <v>1400</v>
      </c>
      <c r="C53" s="10" t="s">
        <v>14</v>
      </c>
      <c r="D53" s="23">
        <v>6</v>
      </c>
      <c r="E53" t="s">
        <v>7</v>
      </c>
      <c r="F53" s="20">
        <f t="shared" si="13"/>
        <v>4.3537906061075986E-2</v>
      </c>
      <c r="G53" s="20">
        <f t="shared" si="15"/>
        <v>2.9960147896593396E-2</v>
      </c>
      <c r="H53" s="20">
        <f t="shared" si="16"/>
        <v>3.8258758696466319E-3</v>
      </c>
      <c r="I53" s="20">
        <f t="shared" si="17"/>
        <v>5.5822337153579975E-2</v>
      </c>
      <c r="J53" s="20">
        <f t="shared" si="14"/>
        <v>2.6836992169380304E-3</v>
      </c>
    </row>
    <row r="54" spans="2:11" x14ac:dyDescent="0.25">
      <c r="B54" s="10">
        <v>1604</v>
      </c>
      <c r="C54" s="10" t="s">
        <v>15</v>
      </c>
      <c r="D54" s="23">
        <v>6</v>
      </c>
      <c r="E54" t="s">
        <v>7</v>
      </c>
      <c r="F54" s="20">
        <f t="shared" si="13"/>
        <v>5.9201110494482304E-2</v>
      </c>
      <c r="G54" s="20">
        <f t="shared" si="15"/>
        <v>3.3292062191375441E-2</v>
      </c>
      <c r="H54" s="20">
        <f t="shared" si="16"/>
        <v>2.9988611560256236E-2</v>
      </c>
      <c r="I54" s="20">
        <f t="shared" si="17"/>
        <v>4.3591959424870756E-2</v>
      </c>
      <c r="J54" s="20">
        <f t="shared" si="14"/>
        <v>6.6721580653261378E-3</v>
      </c>
    </row>
    <row r="55" spans="2:11" x14ac:dyDescent="0.25">
      <c r="B55" s="16">
        <v>1606</v>
      </c>
      <c r="C55" s="16" t="s">
        <v>16</v>
      </c>
      <c r="D55" s="24">
        <v>6</v>
      </c>
      <c r="E55" s="18" t="s">
        <v>7</v>
      </c>
      <c r="F55" s="21">
        <f t="shared" si="13"/>
        <v>0</v>
      </c>
      <c r="G55" s="21">
        <f t="shared" si="15"/>
        <v>0</v>
      </c>
      <c r="H55" s="21">
        <f t="shared" si="16"/>
        <v>0</v>
      </c>
      <c r="I55" s="21">
        <f t="shared" si="17"/>
        <v>0</v>
      </c>
      <c r="J55" s="21">
        <f t="shared" si="14"/>
        <v>0</v>
      </c>
    </row>
    <row r="56" spans="2:11" x14ac:dyDescent="0.25">
      <c r="C56" s="10" t="s">
        <v>21</v>
      </c>
      <c r="D56" s="23">
        <v>6</v>
      </c>
      <c r="E56" t="s">
        <v>7</v>
      </c>
      <c r="F56" s="20">
        <f t="shared" si="13"/>
        <v>2.9076022142346485E-2</v>
      </c>
      <c r="G56" s="20">
        <f t="shared" si="15"/>
        <v>2.3260165745728055E-2</v>
      </c>
      <c r="H56" s="20">
        <f t="shared" si="16"/>
        <v>9.326516937076812E-3</v>
      </c>
      <c r="I56" s="20">
        <f t="shared" si="17"/>
        <v>3.0798798121888186E-2</v>
      </c>
      <c r="J56" s="20">
        <f t="shared" si="14"/>
        <v>1.2331816582526333E-3</v>
      </c>
    </row>
    <row r="58" spans="2:11" x14ac:dyDescent="0.25">
      <c r="B58" s="13" t="s">
        <v>35</v>
      </c>
      <c r="C58" s="13"/>
      <c r="D58" s="14"/>
      <c r="E58" s="2"/>
      <c r="F58" s="2"/>
      <c r="G58" s="2"/>
      <c r="H58" s="2"/>
      <c r="I58" s="2"/>
      <c r="J58" s="2"/>
      <c r="K58" s="2"/>
    </row>
    <row r="59" spans="2:11" x14ac:dyDescent="0.25">
      <c r="B59" s="7" t="s">
        <v>2</v>
      </c>
      <c r="C59" s="7" t="s">
        <v>18</v>
      </c>
      <c r="D59" s="7" t="s">
        <v>3</v>
      </c>
      <c r="E59" s="9" t="s">
        <v>4</v>
      </c>
      <c r="F59" s="22">
        <v>1995</v>
      </c>
      <c r="G59" s="22">
        <v>2000</v>
      </c>
      <c r="H59" s="22">
        <v>2005</v>
      </c>
      <c r="I59" s="22">
        <v>2010</v>
      </c>
      <c r="J59" s="22">
        <v>2015</v>
      </c>
      <c r="K59" s="22">
        <v>2020</v>
      </c>
    </row>
    <row r="60" spans="2:11" x14ac:dyDescent="0.25">
      <c r="B60" s="6" t="s">
        <v>5</v>
      </c>
      <c r="C60" s="10" t="s">
        <v>6</v>
      </c>
      <c r="D60" s="12" t="s">
        <v>19</v>
      </c>
      <c r="E60" t="s">
        <v>20</v>
      </c>
      <c r="F60" s="1">
        <f>+G4</f>
        <v>1034237.5</v>
      </c>
      <c r="G60" s="1">
        <f>+L4</f>
        <v>1124568.6000000001</v>
      </c>
      <c r="H60" s="1">
        <f>+Q4</f>
        <v>1275458.1000000001</v>
      </c>
      <c r="I60" s="1">
        <f>+V4</f>
        <v>1514038.5</v>
      </c>
      <c r="J60" s="1">
        <f>+AA4</f>
        <v>1555925.6</v>
      </c>
      <c r="K60" s="1">
        <f>+AF4</f>
        <v>1672381.9</v>
      </c>
    </row>
    <row r="61" spans="2:11" x14ac:dyDescent="0.25">
      <c r="B61" s="10">
        <v>1000</v>
      </c>
      <c r="C61" s="10" t="s">
        <v>11</v>
      </c>
      <c r="D61" s="12" t="s">
        <v>19</v>
      </c>
      <c r="E61" t="s">
        <v>20</v>
      </c>
      <c r="F61" s="1">
        <f t="shared" ref="F61:F66" si="18">+G5</f>
        <v>58244.3</v>
      </c>
      <c r="G61" s="1">
        <f t="shared" ref="G61:G66" si="19">+L5</f>
        <v>133835.4</v>
      </c>
      <c r="H61" s="1">
        <f t="shared" ref="H61:H66" si="20">+Q5</f>
        <v>229116.4</v>
      </c>
      <c r="I61" s="1">
        <f t="shared" ref="I61:I66" si="21">+V5</f>
        <v>365202.6</v>
      </c>
      <c r="J61" s="1">
        <f t="shared" ref="J61:J66" si="22">+AA5</f>
        <v>364405.5</v>
      </c>
      <c r="K61" s="1">
        <f t="shared" ref="K61:K66" si="23">+AF5</f>
        <v>380497.7</v>
      </c>
    </row>
    <row r="62" spans="2:11" x14ac:dyDescent="0.25">
      <c r="B62" s="10">
        <v>1100</v>
      </c>
      <c r="C62" s="10" t="s">
        <v>17</v>
      </c>
      <c r="D62" s="12" t="s">
        <v>19</v>
      </c>
      <c r="E62" t="s">
        <v>20</v>
      </c>
      <c r="F62" s="1">
        <f t="shared" si="18"/>
        <v>10306.5</v>
      </c>
      <c r="G62" s="1">
        <f t="shared" si="19"/>
        <v>11771.9</v>
      </c>
      <c r="H62" s="1">
        <f t="shared" si="20"/>
        <v>11459.8</v>
      </c>
      <c r="I62" s="1">
        <f t="shared" si="21"/>
        <v>11099.8</v>
      </c>
      <c r="J62" s="1">
        <f t="shared" si="22"/>
        <v>11099.8</v>
      </c>
      <c r="K62" s="1">
        <f t="shared" si="23"/>
        <v>10612.5</v>
      </c>
    </row>
    <row r="63" spans="2:11" x14ac:dyDescent="0.25">
      <c r="B63" s="10">
        <v>1300</v>
      </c>
      <c r="C63" s="10" t="s">
        <v>13</v>
      </c>
      <c r="D63" s="12" t="s">
        <v>19</v>
      </c>
      <c r="E63" t="s">
        <v>20</v>
      </c>
      <c r="F63" s="1">
        <f t="shared" si="18"/>
        <v>17807.5</v>
      </c>
      <c r="G63" s="1">
        <f t="shared" si="19"/>
        <v>25896.799999999999</v>
      </c>
      <c r="H63" s="1">
        <f t="shared" si="20"/>
        <v>46870.2</v>
      </c>
      <c r="I63" s="1">
        <f t="shared" si="21"/>
        <v>96313.3</v>
      </c>
      <c r="J63" s="1">
        <f t="shared" si="22"/>
        <v>97328.5</v>
      </c>
      <c r="K63" s="1">
        <f t="shared" si="23"/>
        <v>106382.9</v>
      </c>
    </row>
    <row r="64" spans="2:11" x14ac:dyDescent="0.25">
      <c r="B64" s="10">
        <v>1400</v>
      </c>
      <c r="C64" s="10" t="s">
        <v>14</v>
      </c>
      <c r="D64" s="12" t="s">
        <v>19</v>
      </c>
      <c r="E64" t="s">
        <v>20</v>
      </c>
      <c r="F64" s="1">
        <f t="shared" si="18"/>
        <v>63255.9</v>
      </c>
      <c r="G64" s="1">
        <f t="shared" si="19"/>
        <v>85587.9</v>
      </c>
      <c r="H64" s="1">
        <f t="shared" si="20"/>
        <v>105264.1</v>
      </c>
      <c r="I64" s="1">
        <f t="shared" si="21"/>
        <v>159480.5</v>
      </c>
      <c r="J64" s="1">
        <f t="shared" si="22"/>
        <v>145574</v>
      </c>
      <c r="K64" s="1">
        <f t="shared" si="23"/>
        <v>164382.6</v>
      </c>
    </row>
    <row r="65" spans="2:11" x14ac:dyDescent="0.25">
      <c r="B65" s="10">
        <v>1604</v>
      </c>
      <c r="C65" s="10" t="s">
        <v>15</v>
      </c>
      <c r="D65" s="12" t="s">
        <v>19</v>
      </c>
      <c r="E65" t="s">
        <v>20</v>
      </c>
      <c r="F65" s="1">
        <f t="shared" si="18"/>
        <v>9380.7000000000007</v>
      </c>
      <c r="G65" s="1">
        <f t="shared" si="19"/>
        <v>17259</v>
      </c>
      <c r="H65" s="1">
        <f t="shared" si="20"/>
        <v>19853.599999999999</v>
      </c>
      <c r="I65" s="1">
        <f t="shared" si="21"/>
        <v>25143.599999999999</v>
      </c>
      <c r="J65" s="1">
        <f t="shared" si="22"/>
        <v>27193.200000000001</v>
      </c>
      <c r="K65" s="1">
        <f t="shared" si="23"/>
        <v>32354.799999999999</v>
      </c>
    </row>
    <row r="66" spans="2:11" x14ac:dyDescent="0.25">
      <c r="B66" s="16">
        <v>1606</v>
      </c>
      <c r="C66" s="16" t="s">
        <v>16</v>
      </c>
      <c r="D66" s="17" t="s">
        <v>19</v>
      </c>
      <c r="E66" s="18" t="s">
        <v>20</v>
      </c>
      <c r="F66" s="3">
        <f t="shared" si="18"/>
        <v>0</v>
      </c>
      <c r="G66" s="3">
        <f t="shared" si="19"/>
        <v>0</v>
      </c>
      <c r="H66" s="3">
        <f t="shared" si="20"/>
        <v>0</v>
      </c>
      <c r="I66" s="3">
        <f t="shared" si="21"/>
        <v>0</v>
      </c>
      <c r="J66" s="3">
        <f t="shared" si="22"/>
        <v>0</v>
      </c>
      <c r="K66" s="3">
        <f t="shared" si="23"/>
        <v>0</v>
      </c>
    </row>
    <row r="67" spans="2:11" x14ac:dyDescent="0.25">
      <c r="C67" s="10" t="s">
        <v>21</v>
      </c>
      <c r="D67" s="12" t="s">
        <v>19</v>
      </c>
      <c r="E67" t="s">
        <v>20</v>
      </c>
      <c r="F67" s="1">
        <f>+SUM(F60:F66)</f>
        <v>1193232.3999999999</v>
      </c>
      <c r="G67" s="1">
        <f t="shared" ref="G67:K67" si="24">+SUM(G60:G66)</f>
        <v>1398919.5999999999</v>
      </c>
      <c r="H67" s="1">
        <f t="shared" si="24"/>
        <v>1688022.2000000002</v>
      </c>
      <c r="I67" s="1">
        <f t="shared" si="24"/>
        <v>2171278.3000000003</v>
      </c>
      <c r="J67" s="1">
        <f t="shared" si="24"/>
        <v>2201526.6000000006</v>
      </c>
      <c r="K67" s="1">
        <f t="shared" si="24"/>
        <v>2366612.4</v>
      </c>
    </row>
    <row r="68" spans="2:11" x14ac:dyDescent="0.25">
      <c r="B68" s="27"/>
      <c r="C68" s="27" t="s">
        <v>37</v>
      </c>
      <c r="D68" s="28"/>
      <c r="E68" s="29"/>
      <c r="F68" s="29"/>
      <c r="G68" s="30">
        <f>+(G67-F67)/F67</f>
        <v>0.17237815533671394</v>
      </c>
      <c r="H68" s="30">
        <f t="shared" ref="H68:K68" si="25">+(H67-G67)/G67</f>
        <v>0.20666134065174321</v>
      </c>
      <c r="I68" s="30">
        <f t="shared" si="25"/>
        <v>0.28628539363996519</v>
      </c>
      <c r="J68" s="30">
        <f t="shared" si="25"/>
        <v>1.3931102245161421E-2</v>
      </c>
      <c r="K68" s="30">
        <f t="shared" si="25"/>
        <v>7.4986965862687882E-2</v>
      </c>
    </row>
    <row r="70" spans="2:11" x14ac:dyDescent="0.25">
      <c r="B70" s="13" t="s">
        <v>36</v>
      </c>
      <c r="C70" s="13"/>
      <c r="D70" s="14"/>
      <c r="E70" s="2"/>
      <c r="F70" s="2"/>
      <c r="G70" s="2"/>
      <c r="H70" s="2"/>
      <c r="I70" s="2"/>
      <c r="J70" s="2"/>
      <c r="K70" s="2"/>
    </row>
    <row r="71" spans="2:11" x14ac:dyDescent="0.25">
      <c r="B71" s="7" t="s">
        <v>2</v>
      </c>
      <c r="C71" s="7" t="s">
        <v>18</v>
      </c>
      <c r="D71" s="7" t="s">
        <v>3</v>
      </c>
      <c r="E71" s="9" t="s">
        <v>4</v>
      </c>
      <c r="F71" s="22">
        <v>1995</v>
      </c>
      <c r="G71" s="22">
        <v>2000</v>
      </c>
      <c r="H71" s="22">
        <v>2005</v>
      </c>
      <c r="I71" s="22">
        <v>2010</v>
      </c>
      <c r="J71" s="22">
        <v>2015</v>
      </c>
      <c r="K71" s="22">
        <v>2020</v>
      </c>
    </row>
    <row r="72" spans="2:11" x14ac:dyDescent="0.25">
      <c r="B72" s="6" t="s">
        <v>5</v>
      </c>
      <c r="C72" s="10" t="s">
        <v>6</v>
      </c>
      <c r="D72" s="12" t="s">
        <v>19</v>
      </c>
      <c r="E72" t="s">
        <v>20</v>
      </c>
      <c r="F72" s="19">
        <f>+F60/F$67</f>
        <v>0.86675278009547851</v>
      </c>
      <c r="G72" s="19">
        <f t="shared" ref="G72:K72" si="26">+G60/G$67</f>
        <v>0.8038836542142952</v>
      </c>
      <c r="H72" s="19">
        <f t="shared" si="26"/>
        <v>0.75559320250645989</v>
      </c>
      <c r="I72" s="19">
        <f t="shared" si="26"/>
        <v>0.69730282847666269</v>
      </c>
      <c r="J72" s="19">
        <f t="shared" si="26"/>
        <v>0.7067484898887888</v>
      </c>
      <c r="K72" s="19">
        <f t="shared" si="26"/>
        <v>0.70665644277026518</v>
      </c>
    </row>
    <row r="73" spans="2:11" x14ac:dyDescent="0.25">
      <c r="B73" s="10">
        <v>1000</v>
      </c>
      <c r="C73" s="10" t="s">
        <v>11</v>
      </c>
      <c r="D73" s="12" t="s">
        <v>19</v>
      </c>
      <c r="E73" t="s">
        <v>20</v>
      </c>
      <c r="F73" s="19">
        <f t="shared" ref="F73:K78" si="27">+F61/F$67</f>
        <v>4.881220121076163E-2</v>
      </c>
      <c r="G73" s="19">
        <f t="shared" si="27"/>
        <v>9.5670544611713218E-2</v>
      </c>
      <c r="H73" s="19">
        <f t="shared" si="27"/>
        <v>0.13573067937139688</v>
      </c>
      <c r="I73" s="19">
        <f t="shared" si="27"/>
        <v>0.16819704779437988</v>
      </c>
      <c r="J73" s="19">
        <f t="shared" si="27"/>
        <v>0.16552400502451339</v>
      </c>
      <c r="K73" s="19">
        <f t="shared" si="27"/>
        <v>0.16077736261332867</v>
      </c>
    </row>
    <row r="74" spans="2:11" x14ac:dyDescent="0.25">
      <c r="B74" s="10">
        <v>1100</v>
      </c>
      <c r="C74" s="10" t="s">
        <v>17</v>
      </c>
      <c r="D74" s="12" t="s">
        <v>19</v>
      </c>
      <c r="E74" t="s">
        <v>20</v>
      </c>
      <c r="F74" s="19">
        <f t="shared" si="27"/>
        <v>8.6374624088316754E-3</v>
      </c>
      <c r="G74" s="19">
        <f t="shared" si="27"/>
        <v>8.4149939710616677E-3</v>
      </c>
      <c r="H74" s="19">
        <f t="shared" si="27"/>
        <v>6.7888917574662217E-3</v>
      </c>
      <c r="I74" s="19">
        <f t="shared" si="27"/>
        <v>5.1121037777607774E-3</v>
      </c>
      <c r="J74" s="19">
        <f t="shared" si="27"/>
        <v>5.0418650403769808E-3</v>
      </c>
      <c r="K74" s="19">
        <f t="shared" si="27"/>
        <v>4.4842577517129551E-3</v>
      </c>
    </row>
    <row r="75" spans="2:11" x14ac:dyDescent="0.25">
      <c r="B75" s="10">
        <v>1300</v>
      </c>
      <c r="C75" s="10" t="s">
        <v>13</v>
      </c>
      <c r="D75" s="12" t="s">
        <v>19</v>
      </c>
      <c r="E75" t="s">
        <v>20</v>
      </c>
      <c r="F75" s="19">
        <f t="shared" si="27"/>
        <v>1.4923748299157819E-2</v>
      </c>
      <c r="G75" s="19">
        <f t="shared" si="27"/>
        <v>1.8512000260772671E-2</v>
      </c>
      <c r="H75" s="19">
        <f t="shared" si="27"/>
        <v>2.7766340987695537E-2</v>
      </c>
      <c r="I75" s="19">
        <f t="shared" si="27"/>
        <v>4.4357878950846599E-2</v>
      </c>
      <c r="J75" s="19">
        <f t="shared" si="27"/>
        <v>4.4209549864171513E-2</v>
      </c>
      <c r="K75" s="19">
        <f t="shared" si="27"/>
        <v>4.4951551846850797E-2</v>
      </c>
    </row>
    <row r="76" spans="2:11" x14ac:dyDescent="0.25">
      <c r="B76" s="10">
        <v>1400</v>
      </c>
      <c r="C76" s="10" t="s">
        <v>14</v>
      </c>
      <c r="D76" s="12" t="s">
        <v>19</v>
      </c>
      <c r="E76" t="s">
        <v>20</v>
      </c>
      <c r="F76" s="19">
        <f t="shared" si="27"/>
        <v>5.3012221257149911E-2</v>
      </c>
      <c r="G76" s="19">
        <f t="shared" si="27"/>
        <v>6.1181428868392437E-2</v>
      </c>
      <c r="H76" s="19">
        <f t="shared" si="27"/>
        <v>6.2359428685238853E-2</v>
      </c>
      <c r="I76" s="19">
        <f t="shared" si="27"/>
        <v>7.345005013866715E-2</v>
      </c>
      <c r="J76" s="19">
        <f t="shared" si="27"/>
        <v>6.6124115874866093E-2</v>
      </c>
      <c r="K76" s="19">
        <f t="shared" si="27"/>
        <v>6.9459029285910953E-2</v>
      </c>
    </row>
    <row r="77" spans="2:11" x14ac:dyDescent="0.25">
      <c r="B77" s="10">
        <v>1604</v>
      </c>
      <c r="C77" s="10" t="s">
        <v>15</v>
      </c>
      <c r="D77" s="12" t="s">
        <v>19</v>
      </c>
      <c r="E77" t="s">
        <v>20</v>
      </c>
      <c r="F77" s="19">
        <f t="shared" si="27"/>
        <v>7.8615867286205114E-3</v>
      </c>
      <c r="G77" s="19">
        <f t="shared" si="27"/>
        <v>1.2337378073764926E-2</v>
      </c>
      <c r="H77" s="19">
        <f t="shared" si="27"/>
        <v>1.1761456691742559E-2</v>
      </c>
      <c r="I77" s="19">
        <f t="shared" si="27"/>
        <v>1.1580090861682721E-2</v>
      </c>
      <c r="J77" s="19">
        <f t="shared" si="27"/>
        <v>1.2351974307282952E-2</v>
      </c>
      <c r="K77" s="19">
        <f t="shared" si="27"/>
        <v>1.3671355731931432E-2</v>
      </c>
    </row>
    <row r="78" spans="2:11" x14ac:dyDescent="0.25">
      <c r="B78" s="16">
        <v>1606</v>
      </c>
      <c r="C78" s="16" t="s">
        <v>16</v>
      </c>
      <c r="D78" s="17" t="s">
        <v>19</v>
      </c>
      <c r="E78" s="18" t="s">
        <v>20</v>
      </c>
      <c r="F78" s="25">
        <f t="shared" si="27"/>
        <v>0</v>
      </c>
      <c r="G78" s="25">
        <f t="shared" si="27"/>
        <v>0</v>
      </c>
      <c r="H78" s="25">
        <f t="shared" si="27"/>
        <v>0</v>
      </c>
      <c r="I78" s="25">
        <f t="shared" si="27"/>
        <v>0</v>
      </c>
      <c r="J78" s="25">
        <f t="shared" si="27"/>
        <v>0</v>
      </c>
      <c r="K78" s="25">
        <f t="shared" si="27"/>
        <v>0</v>
      </c>
    </row>
  </sheetData>
  <conditionalFormatting sqref="M26:AF32">
    <cfRule type="colorScale" priority="1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26:AF32">
    <cfRule type="colorScale" priority="9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33:AF33">
    <cfRule type="colorScale" priority="8">
      <colorScale>
        <cfvo type="min"/>
        <cfvo type="max"/>
        <color rgb="FFFCFCFF"/>
        <color rgb="FF63BE7B"/>
      </colorScale>
    </cfRule>
  </conditionalFormatting>
  <conditionalFormatting sqref="G26:AF33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15:AF21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6">
      <colorScale>
        <cfvo type="min"/>
        <cfvo type="max"/>
        <color rgb="FFFCFCFF"/>
        <color rgb="FF63BE7B"/>
      </colorScale>
    </cfRule>
  </conditionalFormatting>
  <conditionalFormatting sqref="F37:J45">
    <cfRule type="colorScale" priority="5">
      <colorScale>
        <cfvo type="min"/>
        <cfvo type="max"/>
        <color rgb="FFFCFCFF"/>
        <color rgb="FF63BE7B"/>
      </colorScale>
    </cfRule>
  </conditionalFormatting>
  <conditionalFormatting sqref="F49:J56">
    <cfRule type="colorScale" priority="4">
      <colorScale>
        <cfvo type="min"/>
        <cfvo type="max"/>
        <color rgb="FFFCFCFF"/>
        <color rgb="FF63BE7B"/>
      </colorScale>
    </cfRule>
  </conditionalFormatting>
  <conditionalFormatting sqref="G15:AF2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9FE97A-DE94-45C3-93BF-57569724DE16}">
  <dimension ref="B2:AG78"/>
  <sheetViews>
    <sheetView showGridLines="0" workbookViewId="0">
      <pane xSplit="5" ySplit="1" topLeftCell="F2" activePane="bottomRight" state="frozen"/>
      <selection pane="topRight" activeCell="E1" sqref="E1"/>
      <selection pane="bottomLeft" activeCell="A5" sqref="A5"/>
      <selection pane="bottomRight" activeCell="L35" sqref="L35"/>
    </sheetView>
  </sheetViews>
  <sheetFormatPr defaultRowHeight="15" x14ac:dyDescent="0.25"/>
  <cols>
    <col min="1" max="1" width="4.7109375" customWidth="1"/>
    <col min="2" max="2" width="9.140625" style="10"/>
    <col min="3" max="3" width="15.140625" style="10" bestFit="1" customWidth="1"/>
    <col min="4" max="4" width="9.140625" style="5"/>
    <col min="5" max="5" width="16.5703125" bestFit="1" customWidth="1"/>
    <col min="8" max="16" width="8.85546875" bestFit="1" customWidth="1"/>
  </cols>
  <sheetData>
    <row r="2" spans="2:33" s="15" customFormat="1" x14ac:dyDescent="0.25">
      <c r="B2" s="13" t="s">
        <v>30</v>
      </c>
      <c r="C2" s="13"/>
      <c r="D2" s="1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3" x14ac:dyDescent="0.25">
      <c r="B3" s="7" t="s">
        <v>2</v>
      </c>
      <c r="C3" s="7" t="s">
        <v>18</v>
      </c>
      <c r="D3" s="7" t="s">
        <v>3</v>
      </c>
      <c r="E3" s="9" t="s">
        <v>4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9">
        <v>2003</v>
      </c>
      <c r="P3" s="9">
        <v>2004</v>
      </c>
      <c r="Q3" s="9">
        <v>2005</v>
      </c>
      <c r="R3" s="9">
        <v>2006</v>
      </c>
      <c r="S3" s="9">
        <v>2007</v>
      </c>
      <c r="T3" s="9">
        <v>2008</v>
      </c>
      <c r="U3" s="9">
        <v>2009</v>
      </c>
      <c r="V3" s="9">
        <v>2010</v>
      </c>
      <c r="W3" s="9">
        <v>2011</v>
      </c>
      <c r="X3" s="9">
        <v>2012</v>
      </c>
      <c r="Y3" s="9">
        <v>2013</v>
      </c>
      <c r="Z3" s="9">
        <v>2014</v>
      </c>
      <c r="AA3" s="9">
        <v>2015</v>
      </c>
      <c r="AB3" s="9">
        <v>2016</v>
      </c>
      <c r="AC3" s="9">
        <v>2017</v>
      </c>
      <c r="AD3" s="9">
        <v>2018</v>
      </c>
      <c r="AE3" s="9">
        <v>2019</v>
      </c>
      <c r="AF3" s="9">
        <v>2020</v>
      </c>
    </row>
    <row r="4" spans="2:33" x14ac:dyDescent="0.25">
      <c r="B4" s="6" t="s">
        <v>5</v>
      </c>
      <c r="C4" s="10" t="s">
        <v>6</v>
      </c>
      <c r="D4" s="23">
        <v>7.8</v>
      </c>
      <c r="E4" t="s">
        <v>34</v>
      </c>
      <c r="F4" s="1">
        <f>+SUMIFS(grunnur!F$5:F$31,grunnur!$C$5:$C$31,"Reykjavík",grunnur!$D$5:$D$31,"7")+SUMIFS(grunnur!F$5:F$31,grunnur!$C$5:$C$31,"Reykjavík",grunnur!$D$5:$D$31,"8")</f>
        <v>971135.89999999991</v>
      </c>
      <c r="G4" s="1">
        <f>+SUMIFS(grunnur!G$5:G$31,grunnur!$C$5:$C$31,"Reykjavík",grunnur!$D$5:$D$31,"7")+SUMIFS(grunnur!G$5:G$31,grunnur!$C$5:$C$31,"Reykjavík",grunnur!$D$5:$D$31,"8")</f>
        <v>972241.7</v>
      </c>
      <c r="H4" s="1">
        <f>+SUMIFS(grunnur!H$5:H$31,grunnur!$C$5:$C$31,"Reykjavík",grunnur!$D$5:$D$31,"7")+SUMIFS(grunnur!H$5:H$31,grunnur!$C$5:$C$31,"Reykjavík",grunnur!$D$5:$D$31,"8")</f>
        <v>964606.39999999991</v>
      </c>
      <c r="I4" s="1">
        <f>+SUMIFS(grunnur!I$5:I$31,grunnur!$C$5:$C$31,"Reykjavík",grunnur!$D$5:$D$31,"7")+SUMIFS(grunnur!I$5:I$31,grunnur!$C$5:$C$31,"Reykjavík",grunnur!$D$5:$D$31,"8")</f>
        <v>973161.9</v>
      </c>
      <c r="J4" s="1">
        <f>+SUMIFS(grunnur!J$5:J$31,grunnur!$C$5:$C$31,"Reykjavík",grunnur!$D$5:$D$31,"7")+SUMIFS(grunnur!J$5:J$31,grunnur!$C$5:$C$31,"Reykjavík",grunnur!$D$5:$D$31,"8")</f>
        <v>1000499.5</v>
      </c>
      <c r="K4" s="1">
        <f>+SUMIFS(grunnur!K$5:K$31,grunnur!$C$5:$C$31,"Reykjavík",grunnur!$D$5:$D$31,"7")+SUMIFS(grunnur!K$5:K$31,grunnur!$C$5:$C$31,"Reykjavík",grunnur!$D$5:$D$31,"8")</f>
        <v>1002913.2000000001</v>
      </c>
      <c r="L4" s="1">
        <f>+SUMIFS(grunnur!L$5:L$31,grunnur!$C$5:$C$31,"Reykjavík",grunnur!$D$5:$D$31,"7")+SUMIFS(grunnur!L$5:L$31,grunnur!$C$5:$C$31,"Reykjavík",grunnur!$D$5:$D$31,"8")</f>
        <v>1023646.2</v>
      </c>
      <c r="M4" s="1">
        <f>+SUMIFS(grunnur!M$5:M$31,grunnur!$C$5:$C$31,"Reykjavík",grunnur!$D$5:$D$31,"7")+SUMIFS(grunnur!M$5:M$31,grunnur!$C$5:$C$31,"Reykjavík",grunnur!$D$5:$D$31,"8")</f>
        <v>1036375.1000000001</v>
      </c>
      <c r="N4" s="1">
        <f>+SUMIFS(grunnur!N$5:N$31,grunnur!$C$5:$C$31,"Reykjavík",grunnur!$D$5:$D$31,"7")+SUMIFS(grunnur!N$5:N$31,grunnur!$C$5:$C$31,"Reykjavík",grunnur!$D$5:$D$31,"8")</f>
        <v>1044011.8</v>
      </c>
      <c r="O4" s="1">
        <f>+SUMIFS(grunnur!O$5:O$31,grunnur!$C$5:$C$31,"Reykjavík",grunnur!$D$5:$D$31,"7")+SUMIFS(grunnur!O$5:O$31,grunnur!$C$5:$C$31,"Reykjavík",grunnur!$D$5:$D$31,"8")</f>
        <v>1104097</v>
      </c>
      <c r="P4" s="1">
        <f>+SUMIFS(grunnur!P$5:P$31,grunnur!$C$5:$C$31,"Reykjavík",grunnur!$D$5:$D$31,"7")+SUMIFS(grunnur!P$5:P$31,grunnur!$C$5:$C$31,"Reykjavík",grunnur!$D$5:$D$31,"8")</f>
        <v>1092975.3999999999</v>
      </c>
      <c r="Q4" s="1">
        <f>+SUMIFS(grunnur!Q$5:Q$31,grunnur!$C$5:$C$31,"Reykjavík",grunnur!$D$5:$D$31,"7")+SUMIFS(grunnur!Q$5:Q$31,grunnur!$C$5:$C$31,"Reykjavík",grunnur!$D$5:$D$31,"8")</f>
        <v>1116869.3</v>
      </c>
      <c r="R4" s="1">
        <f>+SUMIFS(grunnur!R$5:R$31,grunnur!$C$5:$C$31,"Reykjavík",grunnur!$D$5:$D$31,"7")+SUMIFS(grunnur!R$5:R$31,grunnur!$C$5:$C$31,"Reykjavík",grunnur!$D$5:$D$31,"8")</f>
        <v>1115674.7</v>
      </c>
      <c r="S4" s="1">
        <f>+SUMIFS(grunnur!S$5:S$31,grunnur!$C$5:$C$31,"Reykjavík",grunnur!$D$5:$D$31,"7")+SUMIFS(grunnur!S$5:S$31,grunnur!$C$5:$C$31,"Reykjavík",grunnur!$D$5:$D$31,"8")</f>
        <v>1118879.5</v>
      </c>
      <c r="T4" s="1">
        <f>+SUMIFS(grunnur!T$5:T$31,grunnur!$C$5:$C$31,"Reykjavík",grunnur!$D$5:$D$31,"7")+SUMIFS(grunnur!T$5:T$31,grunnur!$C$5:$C$31,"Reykjavík",grunnur!$D$5:$D$31,"8")</f>
        <v>1151780.7</v>
      </c>
      <c r="U4" s="1">
        <f>+SUMIFS(grunnur!U$5:U$31,grunnur!$C$5:$C$31,"Reykjavík",grunnur!$D$5:$D$31,"7")+SUMIFS(grunnur!U$5:U$31,grunnur!$C$5:$C$31,"Reykjavík",grunnur!$D$5:$D$31,"8")</f>
        <v>1165669.3</v>
      </c>
      <c r="V4" s="1">
        <f>+SUMIFS(grunnur!V$5:V$31,grunnur!$C$5:$C$31,"Reykjavík",grunnur!$D$5:$D$31,"7")+SUMIFS(grunnur!V$5:V$31,grunnur!$C$5:$C$31,"Reykjavík",grunnur!$D$5:$D$31,"8")</f>
        <v>1167292.8</v>
      </c>
      <c r="W4" s="1">
        <f>+SUMIFS(grunnur!W$5:W$31,grunnur!$C$5:$C$31,"Reykjavík",grunnur!$D$5:$D$31,"7")+SUMIFS(grunnur!W$5:W$31,grunnur!$C$5:$C$31,"Reykjavík",grunnur!$D$5:$D$31,"8")</f>
        <v>1159070.2</v>
      </c>
      <c r="X4" s="1">
        <f>+SUMIFS(grunnur!X$5:X$31,grunnur!$C$5:$C$31,"Reykjavík",grunnur!$D$5:$D$31,"7")+SUMIFS(grunnur!X$5:X$31,grunnur!$C$5:$C$31,"Reykjavík",grunnur!$D$5:$D$31,"8")</f>
        <v>1162638.7</v>
      </c>
      <c r="Y4" s="1">
        <f>+SUMIFS(grunnur!Y$5:Y$31,grunnur!$C$5:$C$31,"Reykjavík",grunnur!$D$5:$D$31,"7")+SUMIFS(grunnur!Y$5:Y$31,grunnur!$C$5:$C$31,"Reykjavík",grunnur!$D$5:$D$31,"8")</f>
        <v>1155903.5</v>
      </c>
      <c r="Z4" s="1">
        <f>+SUMIFS(grunnur!Z$5:Z$31,grunnur!$C$5:$C$31,"Reykjavík",grunnur!$D$5:$D$31,"7")+SUMIFS(grunnur!Z$5:Z$31,grunnur!$C$5:$C$31,"Reykjavík",grunnur!$D$5:$D$31,"8")</f>
        <v>1134367</v>
      </c>
      <c r="AA4" s="1">
        <f>+SUMIFS(grunnur!AA$5:AA$31,grunnur!$C$5:$C$31,"Reykjavík",grunnur!$D$5:$D$31,"7")+SUMIFS(grunnur!AA$5:AA$31,grunnur!$C$5:$C$31,"Reykjavík",grunnur!$D$5:$D$31,"8")</f>
        <v>1152489</v>
      </c>
      <c r="AB4" s="1">
        <f>+SUMIFS(grunnur!AB$5:AB$31,grunnur!$C$5:$C$31,"Reykjavík",grunnur!$D$5:$D$31,"7")+SUMIFS(grunnur!AB$5:AB$31,grunnur!$C$5:$C$31,"Reykjavík",grunnur!$D$5:$D$31,"8")</f>
        <v>1148751.6000000001</v>
      </c>
      <c r="AC4" s="1">
        <f>+SUMIFS(grunnur!AC$5:AC$31,grunnur!$C$5:$C$31,"Reykjavík",grunnur!$D$5:$D$31,"7")+SUMIFS(grunnur!AC$5:AC$31,grunnur!$C$5:$C$31,"Reykjavík",grunnur!$D$5:$D$31,"8")</f>
        <v>1155234</v>
      </c>
      <c r="AD4" s="1">
        <f>+SUMIFS(grunnur!AD$5:AD$31,grunnur!$C$5:$C$31,"Reykjavík",grunnur!$D$5:$D$31,"7")+SUMIFS(grunnur!AD$5:AD$31,grunnur!$C$5:$C$31,"Reykjavík",grunnur!$D$5:$D$31,"8")</f>
        <v>1176302.5</v>
      </c>
      <c r="AE4" s="1">
        <f>+SUMIFS(grunnur!AE$5:AE$31,grunnur!$C$5:$C$31,"Reykjavík",grunnur!$D$5:$D$31,"7")+SUMIFS(grunnur!AE$5:AE$31,grunnur!$C$5:$C$31,"Reykjavík",grunnur!$D$5:$D$31,"8")</f>
        <v>1186221.3999999999</v>
      </c>
      <c r="AF4" s="1">
        <f>+SUMIFS(grunnur!AF$5:AF$31,grunnur!$C$5:$C$31,"Reykjavík",grunnur!$D$5:$D$31,"7")+SUMIFS(grunnur!AF$5:AF$31,grunnur!$C$5:$C$31,"Reykjavík",grunnur!$D$5:$D$31,"8")</f>
        <v>1157792.8</v>
      </c>
    </row>
    <row r="5" spans="2:33" x14ac:dyDescent="0.25">
      <c r="B5" s="10">
        <v>1000</v>
      </c>
      <c r="C5" s="10" t="s">
        <v>11</v>
      </c>
      <c r="D5" s="23">
        <v>7.8</v>
      </c>
      <c r="E5" t="s">
        <v>34</v>
      </c>
      <c r="F5" s="1">
        <f>+SUMIFS(grunnur!F$5:F$31,grunnur!$C$5:$C$31,"Kópavogur",grunnur!$D$5:$D$31,"7")+SUMIFS(grunnur!F$5:F$31,grunnur!$C$5:$C$31,"Kópavogur",grunnur!$D$5:$D$31,"8")</f>
        <v>166226.6</v>
      </c>
      <c r="G5" s="1">
        <f>+SUMIFS(grunnur!G$5:G$31,grunnur!$C$5:$C$31,"Kópavogur",grunnur!$D$5:$D$31,"7")+SUMIFS(grunnur!G$5:G$31,grunnur!$C$5:$C$31,"Kópavogur",grunnur!$D$5:$D$31,"8")</f>
        <v>175968.6</v>
      </c>
      <c r="H5" s="1">
        <f>+SUMIFS(grunnur!H$5:H$31,grunnur!$C$5:$C$31,"Kópavogur",grunnur!$D$5:$D$31,"7")+SUMIFS(grunnur!H$5:H$31,grunnur!$C$5:$C$31,"Kópavogur",grunnur!$D$5:$D$31,"8")</f>
        <v>182293.19999999998</v>
      </c>
      <c r="I5" s="1">
        <f>+SUMIFS(grunnur!I$5:I$31,grunnur!$C$5:$C$31,"Kópavogur",grunnur!$D$5:$D$31,"7")+SUMIFS(grunnur!I$5:I$31,grunnur!$C$5:$C$31,"Kópavogur",grunnur!$D$5:$D$31,"8")</f>
        <v>188543.3</v>
      </c>
      <c r="J5" s="1">
        <f>+SUMIFS(grunnur!J$5:J$31,grunnur!$C$5:$C$31,"Kópavogur",grunnur!$D$5:$D$31,"7")+SUMIFS(grunnur!J$5:J$31,grunnur!$C$5:$C$31,"Kópavogur",grunnur!$D$5:$D$31,"8")</f>
        <v>213633.2</v>
      </c>
      <c r="K5" s="1">
        <f>+SUMIFS(grunnur!K$5:K$31,grunnur!$C$5:$C$31,"Kópavogur",grunnur!$D$5:$D$31,"7")+SUMIFS(grunnur!K$5:K$31,grunnur!$C$5:$C$31,"Kópavogur",grunnur!$D$5:$D$31,"8")</f>
        <v>230958</v>
      </c>
      <c r="L5" s="1">
        <f>+SUMIFS(grunnur!L$5:L$31,grunnur!$C$5:$C$31,"Kópavogur",grunnur!$D$5:$D$31,"7")+SUMIFS(grunnur!L$5:L$31,grunnur!$C$5:$C$31,"Kópavogur",grunnur!$D$5:$D$31,"8")</f>
        <v>241238.39999999999</v>
      </c>
      <c r="M5" s="1">
        <f>+SUMIFS(grunnur!M$5:M$31,grunnur!$C$5:$C$31,"Kópavogur",grunnur!$D$5:$D$31,"7")+SUMIFS(grunnur!M$5:M$31,grunnur!$C$5:$C$31,"Kópavogur",grunnur!$D$5:$D$31,"8")</f>
        <v>243779.20000000001</v>
      </c>
      <c r="N5" s="1">
        <f>+SUMIFS(grunnur!N$5:N$31,grunnur!$C$5:$C$31,"Kópavogur",grunnur!$D$5:$D$31,"7")+SUMIFS(grunnur!N$5:N$31,grunnur!$C$5:$C$31,"Kópavogur",grunnur!$D$5:$D$31,"8")</f>
        <v>243247</v>
      </c>
      <c r="O5" s="1">
        <f>+SUMIFS(grunnur!O$5:O$31,grunnur!$C$5:$C$31,"Kópavogur",grunnur!$D$5:$D$31,"7")+SUMIFS(grunnur!O$5:O$31,grunnur!$C$5:$C$31,"Kópavogur",grunnur!$D$5:$D$31,"8")</f>
        <v>250005.5</v>
      </c>
      <c r="P5" s="1">
        <f>+SUMIFS(grunnur!P$5:P$31,grunnur!$C$5:$C$31,"Kópavogur",grunnur!$D$5:$D$31,"7")+SUMIFS(grunnur!P$5:P$31,grunnur!$C$5:$C$31,"Kópavogur",grunnur!$D$5:$D$31,"8")</f>
        <v>253457.80000000002</v>
      </c>
      <c r="Q5" s="1">
        <f>+SUMIFS(grunnur!Q$5:Q$31,grunnur!$C$5:$C$31,"Kópavogur",grunnur!$D$5:$D$31,"7")+SUMIFS(grunnur!Q$5:Q$31,grunnur!$C$5:$C$31,"Kópavogur",grunnur!$D$5:$D$31,"8")</f>
        <v>268990.8</v>
      </c>
      <c r="R5" s="1">
        <f>+SUMIFS(grunnur!R$5:R$31,grunnur!$C$5:$C$31,"Kópavogur",grunnur!$D$5:$D$31,"7")+SUMIFS(grunnur!R$5:R$31,grunnur!$C$5:$C$31,"Kópavogur",grunnur!$D$5:$D$31,"8")</f>
        <v>271524.5</v>
      </c>
      <c r="S5" s="1">
        <f>+SUMIFS(grunnur!S$5:S$31,grunnur!$C$5:$C$31,"Kópavogur",grunnur!$D$5:$D$31,"7")+SUMIFS(grunnur!S$5:S$31,grunnur!$C$5:$C$31,"Kópavogur",grunnur!$D$5:$D$31,"8")</f>
        <v>289300.5</v>
      </c>
      <c r="T5" s="1">
        <f>+SUMIFS(grunnur!T$5:T$31,grunnur!$C$5:$C$31,"Kópavogur",grunnur!$D$5:$D$31,"7")+SUMIFS(grunnur!T$5:T$31,grunnur!$C$5:$C$31,"Kópavogur",grunnur!$D$5:$D$31,"8")</f>
        <v>290654.89999999997</v>
      </c>
      <c r="U5" s="1">
        <f>+SUMIFS(grunnur!U$5:U$31,grunnur!$C$5:$C$31,"Kópavogur",grunnur!$D$5:$D$31,"7")+SUMIFS(grunnur!U$5:U$31,grunnur!$C$5:$C$31,"Kópavogur",grunnur!$D$5:$D$31,"8")</f>
        <v>289917.90000000002</v>
      </c>
      <c r="V5" s="1">
        <f>+SUMIFS(grunnur!V$5:V$31,grunnur!$C$5:$C$31,"Kópavogur",grunnur!$D$5:$D$31,"7")+SUMIFS(grunnur!V$5:V$31,grunnur!$C$5:$C$31,"Kópavogur",grunnur!$D$5:$D$31,"8")</f>
        <v>290333.8</v>
      </c>
      <c r="W5" s="1">
        <f>+SUMIFS(grunnur!W$5:W$31,grunnur!$C$5:$C$31,"Kópavogur",grunnur!$D$5:$D$31,"7")+SUMIFS(grunnur!W$5:W$31,grunnur!$C$5:$C$31,"Kópavogur",grunnur!$D$5:$D$31,"8")</f>
        <v>290735.5</v>
      </c>
      <c r="X5" s="1">
        <f>+SUMIFS(grunnur!X$5:X$31,grunnur!$C$5:$C$31,"Kópavogur",grunnur!$D$5:$D$31,"7")+SUMIFS(grunnur!X$5:X$31,grunnur!$C$5:$C$31,"Kópavogur",grunnur!$D$5:$D$31,"8")</f>
        <v>290515.8</v>
      </c>
      <c r="Y5" s="1">
        <f>+SUMIFS(grunnur!Y$5:Y$31,grunnur!$C$5:$C$31,"Kópavogur",grunnur!$D$5:$D$31,"7")+SUMIFS(grunnur!Y$5:Y$31,grunnur!$C$5:$C$31,"Kópavogur",grunnur!$D$5:$D$31,"8")</f>
        <v>291477.40000000002</v>
      </c>
      <c r="Z5" s="1">
        <f>+SUMIFS(grunnur!Z$5:Z$31,grunnur!$C$5:$C$31,"Kópavogur",grunnur!$D$5:$D$31,"7")+SUMIFS(grunnur!Z$5:Z$31,grunnur!$C$5:$C$31,"Kópavogur",grunnur!$D$5:$D$31,"8")</f>
        <v>291955.40000000002</v>
      </c>
      <c r="AA5" s="1">
        <f>+SUMIFS(grunnur!AA$5:AA$31,grunnur!$C$5:$C$31,"Kópavogur",grunnur!$D$5:$D$31,"7")+SUMIFS(grunnur!AA$5:AA$31,grunnur!$C$5:$C$31,"Kópavogur",grunnur!$D$5:$D$31,"8")</f>
        <v>290894.2</v>
      </c>
      <c r="AB5" s="1">
        <f>+SUMIFS(grunnur!AB$5:AB$31,grunnur!$C$5:$C$31,"Kópavogur",grunnur!$D$5:$D$31,"7")+SUMIFS(grunnur!AB$5:AB$31,grunnur!$C$5:$C$31,"Kópavogur",grunnur!$D$5:$D$31,"8")</f>
        <v>273023.5</v>
      </c>
      <c r="AC5" s="1">
        <f>+SUMIFS(grunnur!AC$5:AC$31,grunnur!$C$5:$C$31,"Kópavogur",grunnur!$D$5:$D$31,"7")+SUMIFS(grunnur!AC$5:AC$31,grunnur!$C$5:$C$31,"Kópavogur",grunnur!$D$5:$D$31,"8")</f>
        <v>280659.3</v>
      </c>
      <c r="AD5" s="1">
        <f>+SUMIFS(grunnur!AD$5:AD$31,grunnur!$C$5:$C$31,"Kópavogur",grunnur!$D$5:$D$31,"7")+SUMIFS(grunnur!AD$5:AD$31,grunnur!$C$5:$C$31,"Kópavogur",grunnur!$D$5:$D$31,"8")</f>
        <v>275349.40000000002</v>
      </c>
      <c r="AE5" s="1">
        <f>+SUMIFS(grunnur!AE$5:AE$31,grunnur!$C$5:$C$31,"Kópavogur",grunnur!$D$5:$D$31,"7")+SUMIFS(grunnur!AE$5:AE$31,grunnur!$C$5:$C$31,"Kópavogur",grunnur!$D$5:$D$31,"8")</f>
        <v>278768</v>
      </c>
      <c r="AF5" s="1">
        <f>+SUMIFS(grunnur!AF$5:AF$31,grunnur!$C$5:$C$31,"Kópavogur",grunnur!$D$5:$D$31,"7")+SUMIFS(grunnur!AF$5:AF$31,grunnur!$C$5:$C$31,"Kópavogur",grunnur!$D$5:$D$31,"8")</f>
        <v>280165.40000000002</v>
      </c>
    </row>
    <row r="6" spans="2:33" x14ac:dyDescent="0.25">
      <c r="B6" s="10">
        <v>1100</v>
      </c>
      <c r="C6" s="10" t="s">
        <v>17</v>
      </c>
      <c r="D6" s="23">
        <v>7.8</v>
      </c>
      <c r="E6" t="s">
        <v>34</v>
      </c>
      <c r="F6" s="1">
        <f>+SUMIFS(grunnur!F$5:F$31,grunnur!$C$5:$C$31,"Seltjarnarnesbær",grunnur!$D$5:$D$31,"7")+SUMIFS(grunnur!F$5:F$31,grunnur!$C$5:$C$31,"Seltjarnarnesbær",grunnur!$D$5:$D$31,"8")</f>
        <v>9930.6</v>
      </c>
      <c r="G6" s="1">
        <f>+SUMIFS(grunnur!G$5:G$31,grunnur!$C$5:$C$31,"Seltjarnarnesbær",grunnur!$D$5:$D$31,"7")+SUMIFS(grunnur!G$5:G$31,grunnur!$C$5:$C$31,"Seltjarnarnesbær",grunnur!$D$5:$D$31,"8")</f>
        <v>12863.6</v>
      </c>
      <c r="H6" s="1">
        <f>+SUMIFS(grunnur!H$5:H$31,grunnur!$C$5:$C$31,"Seltjarnarnesbær",grunnur!$D$5:$D$31,"7")+SUMIFS(grunnur!H$5:H$31,grunnur!$C$5:$C$31,"Seltjarnarnesbær",grunnur!$D$5:$D$31,"8")</f>
        <v>13695.4</v>
      </c>
      <c r="I6" s="1">
        <f>+SUMIFS(grunnur!I$5:I$31,grunnur!$C$5:$C$31,"Seltjarnarnesbær",grunnur!$D$5:$D$31,"7")+SUMIFS(grunnur!I$5:I$31,grunnur!$C$5:$C$31,"Seltjarnarnesbær",grunnur!$D$5:$D$31,"8")</f>
        <v>13000.099999999999</v>
      </c>
      <c r="J6" s="1">
        <f>+SUMIFS(grunnur!J$5:J$31,grunnur!$C$5:$C$31,"Seltjarnarnesbær",grunnur!$D$5:$D$31,"7")+SUMIFS(grunnur!J$5:J$31,grunnur!$C$5:$C$31,"Seltjarnarnesbær",grunnur!$D$5:$D$31,"8")</f>
        <v>13065</v>
      </c>
      <c r="K6" s="1">
        <f>+SUMIFS(grunnur!K$5:K$31,grunnur!$C$5:$C$31,"Seltjarnarnesbær",grunnur!$D$5:$D$31,"7")+SUMIFS(grunnur!K$5:K$31,grunnur!$C$5:$C$31,"Seltjarnarnesbær",grunnur!$D$5:$D$31,"8")</f>
        <v>13026.4</v>
      </c>
      <c r="L6" s="1">
        <f>+SUMIFS(grunnur!L$5:L$31,grunnur!$C$5:$C$31,"Seltjarnarnesbær",grunnur!$D$5:$D$31,"7")+SUMIFS(grunnur!L$5:L$31,grunnur!$C$5:$C$31,"Seltjarnarnesbær",grunnur!$D$5:$D$31,"8")</f>
        <v>13309</v>
      </c>
      <c r="M6" s="1">
        <f>+SUMIFS(grunnur!M$5:M$31,grunnur!$C$5:$C$31,"Seltjarnarnesbær",grunnur!$D$5:$D$31,"7")+SUMIFS(grunnur!M$5:M$31,grunnur!$C$5:$C$31,"Seltjarnarnesbær",grunnur!$D$5:$D$31,"8")</f>
        <v>13320.699999999999</v>
      </c>
      <c r="N6" s="1">
        <f>+SUMIFS(grunnur!N$5:N$31,grunnur!$C$5:$C$31,"Seltjarnarnesbær",grunnur!$D$5:$D$31,"7")+SUMIFS(grunnur!N$5:N$31,grunnur!$C$5:$C$31,"Seltjarnarnesbær",grunnur!$D$5:$D$31,"8")</f>
        <v>13320.699999999999</v>
      </c>
      <c r="O6" s="1">
        <f>+SUMIFS(grunnur!O$5:O$31,grunnur!$C$5:$C$31,"Seltjarnarnesbær",grunnur!$D$5:$D$31,"7")+SUMIFS(grunnur!O$5:O$31,grunnur!$C$5:$C$31,"Seltjarnarnesbær",grunnur!$D$5:$D$31,"8")</f>
        <v>13518.1</v>
      </c>
      <c r="P6" s="1">
        <f>+SUMIFS(grunnur!P$5:P$31,grunnur!$C$5:$C$31,"Seltjarnarnesbær",grunnur!$D$5:$D$31,"7")+SUMIFS(grunnur!P$5:P$31,grunnur!$C$5:$C$31,"Seltjarnarnesbær",grunnur!$D$5:$D$31,"8")</f>
        <v>13518.1</v>
      </c>
      <c r="Q6" s="1">
        <f>+SUMIFS(grunnur!Q$5:Q$31,grunnur!$C$5:$C$31,"Seltjarnarnesbær",grunnur!$D$5:$D$31,"7")+SUMIFS(grunnur!Q$5:Q$31,grunnur!$C$5:$C$31,"Seltjarnarnesbær",grunnur!$D$5:$D$31,"8")</f>
        <v>13518.1</v>
      </c>
      <c r="R6" s="1">
        <f>+SUMIFS(grunnur!R$5:R$31,grunnur!$C$5:$C$31,"Seltjarnarnesbær",grunnur!$D$5:$D$31,"7")+SUMIFS(grunnur!R$5:R$31,grunnur!$C$5:$C$31,"Seltjarnarnesbær",grunnur!$D$5:$D$31,"8")</f>
        <v>14012.9</v>
      </c>
      <c r="S6" s="1">
        <f>+SUMIFS(grunnur!S$5:S$31,grunnur!$C$5:$C$31,"Seltjarnarnesbær",grunnur!$D$5:$D$31,"7")+SUMIFS(grunnur!S$5:S$31,grunnur!$C$5:$C$31,"Seltjarnarnesbær",grunnur!$D$5:$D$31,"8")</f>
        <v>14008</v>
      </c>
      <c r="T6" s="1">
        <f>+SUMIFS(grunnur!T$5:T$31,grunnur!$C$5:$C$31,"Seltjarnarnesbær",grunnur!$D$5:$D$31,"7")+SUMIFS(grunnur!T$5:T$31,grunnur!$C$5:$C$31,"Seltjarnarnesbær",grunnur!$D$5:$D$31,"8")</f>
        <v>11254.4</v>
      </c>
      <c r="U6" s="1">
        <f>+SUMIFS(grunnur!U$5:U$31,grunnur!$C$5:$C$31,"Seltjarnarnesbær",grunnur!$D$5:$D$31,"7")+SUMIFS(grunnur!U$5:U$31,grunnur!$C$5:$C$31,"Seltjarnarnesbær",grunnur!$D$5:$D$31,"8")</f>
        <v>11254.4</v>
      </c>
      <c r="V6" s="1">
        <f>+SUMIFS(grunnur!V$5:V$31,grunnur!$C$5:$C$31,"Seltjarnarnesbær",grunnur!$D$5:$D$31,"7")+SUMIFS(grunnur!V$5:V$31,grunnur!$C$5:$C$31,"Seltjarnarnesbær",grunnur!$D$5:$D$31,"8")</f>
        <v>11254.4</v>
      </c>
      <c r="W6" s="1">
        <f>+SUMIFS(grunnur!W$5:W$31,grunnur!$C$5:$C$31,"Seltjarnarnesbær",grunnur!$D$5:$D$31,"7")+SUMIFS(grunnur!W$5:W$31,grunnur!$C$5:$C$31,"Seltjarnarnesbær",grunnur!$D$5:$D$31,"8")</f>
        <v>11254.4</v>
      </c>
      <c r="X6" s="1">
        <f>+SUMIFS(grunnur!X$5:X$31,grunnur!$C$5:$C$31,"Seltjarnarnesbær",grunnur!$D$5:$D$31,"7")+SUMIFS(grunnur!X$5:X$31,grunnur!$C$5:$C$31,"Seltjarnarnesbær",grunnur!$D$5:$D$31,"8")</f>
        <v>11254.4</v>
      </c>
      <c r="Y6" s="1">
        <f>+SUMIFS(grunnur!Y$5:Y$31,grunnur!$C$5:$C$31,"Seltjarnarnesbær",grunnur!$D$5:$D$31,"7")+SUMIFS(grunnur!Y$5:Y$31,grunnur!$C$5:$C$31,"Seltjarnarnesbær",grunnur!$D$5:$D$31,"8")</f>
        <v>11254.4</v>
      </c>
      <c r="Z6" s="1">
        <f>+SUMIFS(grunnur!Z$5:Z$31,grunnur!$C$5:$C$31,"Seltjarnarnesbær",grunnur!$D$5:$D$31,"7")+SUMIFS(grunnur!Z$5:Z$31,grunnur!$C$5:$C$31,"Seltjarnarnesbær",grunnur!$D$5:$D$31,"8")</f>
        <v>11254.4</v>
      </c>
      <c r="AA6" s="1">
        <f>+SUMIFS(grunnur!AA$5:AA$31,grunnur!$C$5:$C$31,"Seltjarnarnesbær",grunnur!$D$5:$D$31,"7")+SUMIFS(grunnur!AA$5:AA$31,grunnur!$C$5:$C$31,"Seltjarnarnesbær",grunnur!$D$5:$D$31,"8")</f>
        <v>11254.4</v>
      </c>
      <c r="AB6" s="1">
        <f>+SUMIFS(grunnur!AB$5:AB$31,grunnur!$C$5:$C$31,"Seltjarnarnesbær",grunnur!$D$5:$D$31,"7")+SUMIFS(grunnur!AB$5:AB$31,grunnur!$C$5:$C$31,"Seltjarnarnesbær",grunnur!$D$5:$D$31,"8")</f>
        <v>9330.1</v>
      </c>
      <c r="AC6" s="1">
        <f>+SUMIFS(grunnur!AC$5:AC$31,grunnur!$C$5:$C$31,"Seltjarnarnesbær",grunnur!$D$5:$D$31,"7")+SUMIFS(grunnur!AC$5:AC$31,grunnur!$C$5:$C$31,"Seltjarnarnesbær",grunnur!$D$5:$D$31,"8")</f>
        <v>9077.1</v>
      </c>
      <c r="AD6" s="1">
        <f>+SUMIFS(grunnur!AD$5:AD$31,grunnur!$C$5:$C$31,"Seltjarnarnesbær",grunnur!$D$5:$D$31,"7")+SUMIFS(grunnur!AD$5:AD$31,grunnur!$C$5:$C$31,"Seltjarnarnesbær",grunnur!$D$5:$D$31,"8")</f>
        <v>7559.9</v>
      </c>
      <c r="AE6" s="1">
        <f>+SUMIFS(grunnur!AE$5:AE$31,grunnur!$C$5:$C$31,"Seltjarnarnesbær",grunnur!$D$5:$D$31,"7")+SUMIFS(grunnur!AE$5:AE$31,grunnur!$C$5:$C$31,"Seltjarnarnesbær",grunnur!$D$5:$D$31,"8")</f>
        <v>7559.9</v>
      </c>
      <c r="AF6" s="1">
        <f>+SUMIFS(grunnur!AF$5:AF$31,grunnur!$C$5:$C$31,"Seltjarnarnesbær",grunnur!$D$5:$D$31,"7")+SUMIFS(grunnur!AF$5:AF$31,grunnur!$C$5:$C$31,"Seltjarnarnesbær",grunnur!$D$5:$D$31,"8")</f>
        <v>7559.9</v>
      </c>
      <c r="AG6" s="1"/>
    </row>
    <row r="7" spans="2:33" x14ac:dyDescent="0.25">
      <c r="B7" s="10">
        <v>1300</v>
      </c>
      <c r="C7" s="10" t="s">
        <v>13</v>
      </c>
      <c r="D7" s="23">
        <v>7.8</v>
      </c>
      <c r="E7" t="s">
        <v>34</v>
      </c>
      <c r="F7" s="1">
        <f>+SUMIFS(grunnur!F$5:F$31,grunnur!$C$5:$C$31,"Garðabær",grunnur!$D$5:$D$31,"7")+SUMIFS(grunnur!F$5:F$31,grunnur!$C$5:$C$31,"Garðabær",grunnur!$D$5:$D$31,"8")</f>
        <v>48297.1</v>
      </c>
      <c r="G7" s="1">
        <f>+SUMIFS(grunnur!G$5:G$31,grunnur!$C$5:$C$31,"Garðabær",grunnur!$D$5:$D$31,"7")+SUMIFS(grunnur!G$5:G$31,grunnur!$C$5:$C$31,"Garðabær",grunnur!$D$5:$D$31,"8")</f>
        <v>48909.200000000004</v>
      </c>
      <c r="H7" s="1">
        <f>+SUMIFS(grunnur!H$5:H$31,grunnur!$C$5:$C$31,"Garðabær",grunnur!$D$5:$D$31,"7")+SUMIFS(grunnur!H$5:H$31,grunnur!$C$5:$C$31,"Garðabær",grunnur!$D$5:$D$31,"8")</f>
        <v>54354.9</v>
      </c>
      <c r="I7" s="1">
        <f>+SUMIFS(grunnur!I$5:I$31,grunnur!$C$5:$C$31,"Garðabær",grunnur!$D$5:$D$31,"7")+SUMIFS(grunnur!I$5:I$31,grunnur!$C$5:$C$31,"Garðabær",grunnur!$D$5:$D$31,"8")</f>
        <v>61527.9</v>
      </c>
      <c r="J7" s="1">
        <f>+SUMIFS(grunnur!J$5:J$31,grunnur!$C$5:$C$31,"Garðabær",grunnur!$D$5:$D$31,"7")+SUMIFS(grunnur!J$5:J$31,grunnur!$C$5:$C$31,"Garðabær",grunnur!$D$5:$D$31,"8")</f>
        <v>74570.399999999994</v>
      </c>
      <c r="K7" s="1">
        <f>+SUMIFS(grunnur!K$5:K$31,grunnur!$C$5:$C$31,"Garðabær",grunnur!$D$5:$D$31,"7")+SUMIFS(grunnur!K$5:K$31,grunnur!$C$5:$C$31,"Garðabær",grunnur!$D$5:$D$31,"8")</f>
        <v>77698.299999999988</v>
      </c>
      <c r="L7" s="1">
        <f>+SUMIFS(grunnur!L$5:L$31,grunnur!$C$5:$C$31,"Garðabær",grunnur!$D$5:$D$31,"7")+SUMIFS(grunnur!L$5:L$31,grunnur!$C$5:$C$31,"Garðabær",grunnur!$D$5:$D$31,"8")</f>
        <v>88356.6</v>
      </c>
      <c r="M7" s="1">
        <f>+SUMIFS(grunnur!M$5:M$31,grunnur!$C$5:$C$31,"Garðabær",grunnur!$D$5:$D$31,"7")+SUMIFS(grunnur!M$5:M$31,grunnur!$C$5:$C$31,"Garðabær",grunnur!$D$5:$D$31,"8")</f>
        <v>105428.7</v>
      </c>
      <c r="N7" s="1">
        <f>+SUMIFS(grunnur!N$5:N$31,grunnur!$C$5:$C$31,"Garðabær",grunnur!$D$5:$D$31,"7")+SUMIFS(grunnur!N$5:N$31,grunnur!$C$5:$C$31,"Garðabær",grunnur!$D$5:$D$31,"8")</f>
        <v>110835.8</v>
      </c>
      <c r="O7" s="1">
        <f>+SUMIFS(grunnur!O$5:O$31,grunnur!$C$5:$C$31,"Garðabær",grunnur!$D$5:$D$31,"7")+SUMIFS(grunnur!O$5:O$31,grunnur!$C$5:$C$31,"Garðabær",grunnur!$D$5:$D$31,"8")</f>
        <v>114685.3</v>
      </c>
      <c r="P7" s="1">
        <f>+SUMIFS(grunnur!P$5:P$31,grunnur!$C$5:$C$31,"Garðabær",grunnur!$D$5:$D$31,"7")+SUMIFS(grunnur!P$5:P$31,grunnur!$C$5:$C$31,"Garðabær",grunnur!$D$5:$D$31,"8")</f>
        <v>116481.2</v>
      </c>
      <c r="Q7" s="1">
        <f>+SUMIFS(grunnur!Q$5:Q$31,grunnur!$C$5:$C$31,"Garðabær",grunnur!$D$5:$D$31,"7")+SUMIFS(grunnur!Q$5:Q$31,grunnur!$C$5:$C$31,"Garðabær",grunnur!$D$5:$D$31,"8")</f>
        <v>118124</v>
      </c>
      <c r="R7" s="1">
        <f>+SUMIFS(grunnur!R$5:R$31,grunnur!$C$5:$C$31,"Garðabær",grunnur!$D$5:$D$31,"7")+SUMIFS(grunnur!R$5:R$31,grunnur!$C$5:$C$31,"Garðabær",grunnur!$D$5:$D$31,"8")</f>
        <v>124305.5</v>
      </c>
      <c r="S7" s="1">
        <f>+SUMIFS(grunnur!S$5:S$31,grunnur!$C$5:$C$31,"Garðabær",grunnur!$D$5:$D$31,"7")+SUMIFS(grunnur!S$5:S$31,grunnur!$C$5:$C$31,"Garðabær",grunnur!$D$5:$D$31,"8")</f>
        <v>124307.3</v>
      </c>
      <c r="T7" s="1">
        <f>+SUMIFS(grunnur!T$5:T$31,grunnur!$C$5:$C$31,"Garðabær",grunnur!$D$5:$D$31,"7")+SUMIFS(grunnur!T$5:T$31,grunnur!$C$5:$C$31,"Garðabær",grunnur!$D$5:$D$31,"8")</f>
        <v>126517.3</v>
      </c>
      <c r="U7" s="1">
        <f>+SUMIFS(grunnur!U$5:U$31,grunnur!$C$5:$C$31,"Garðabær",grunnur!$D$5:$D$31,"7")+SUMIFS(grunnur!U$5:U$31,grunnur!$C$5:$C$31,"Garðabær",grunnur!$D$5:$D$31,"8")</f>
        <v>126348.1</v>
      </c>
      <c r="V7" s="1">
        <f>+SUMIFS(grunnur!V$5:V$31,grunnur!$C$5:$C$31,"Garðabær",grunnur!$D$5:$D$31,"7")+SUMIFS(grunnur!V$5:V$31,grunnur!$C$5:$C$31,"Garðabær",grunnur!$D$5:$D$31,"8")</f>
        <v>126325.5</v>
      </c>
      <c r="W7" s="1">
        <f>+SUMIFS(grunnur!W$5:W$31,grunnur!$C$5:$C$31,"Garðabær",grunnur!$D$5:$D$31,"7")+SUMIFS(grunnur!W$5:W$31,grunnur!$C$5:$C$31,"Garðabær",grunnur!$D$5:$D$31,"8")</f>
        <v>126718.1</v>
      </c>
      <c r="X7" s="1">
        <f>+SUMIFS(grunnur!X$5:X$31,grunnur!$C$5:$C$31,"Garðabær",grunnur!$D$5:$D$31,"7")+SUMIFS(grunnur!X$5:X$31,grunnur!$C$5:$C$31,"Garðabær",grunnur!$D$5:$D$31,"8")</f>
        <v>128285</v>
      </c>
      <c r="Y7" s="1">
        <f>+SUMIFS(grunnur!Y$5:Y$31,grunnur!$C$5:$C$31,"Garðabær",grunnur!$D$5:$D$31,"7")+SUMIFS(grunnur!Y$5:Y$31,grunnur!$C$5:$C$31,"Garðabær",grunnur!$D$5:$D$31,"8")</f>
        <v>129575.1</v>
      </c>
      <c r="Z7" s="1">
        <f>+SUMIFS(grunnur!Z$5:Z$31,grunnur!$C$5:$C$31,"Garðabær",grunnur!$D$5:$D$31,"7")+SUMIFS(grunnur!Z$5:Z$31,grunnur!$C$5:$C$31,"Garðabær",grunnur!$D$5:$D$31,"8")</f>
        <v>127647.7</v>
      </c>
      <c r="AA7" s="1">
        <f>+SUMIFS(grunnur!AA$5:AA$31,grunnur!$C$5:$C$31,"Garðabær",grunnur!$D$5:$D$31,"7")+SUMIFS(grunnur!AA$5:AA$31,grunnur!$C$5:$C$31,"Garðabær",grunnur!$D$5:$D$31,"8")</f>
        <v>128496.8</v>
      </c>
      <c r="AB7" s="1">
        <f>+SUMIFS(grunnur!AB$5:AB$31,grunnur!$C$5:$C$31,"Garðabær",grunnur!$D$5:$D$31,"7")+SUMIFS(grunnur!AB$5:AB$31,grunnur!$C$5:$C$31,"Garðabær",grunnur!$D$5:$D$31,"8")</f>
        <v>128496.8</v>
      </c>
      <c r="AC7" s="1">
        <f>+SUMIFS(grunnur!AC$5:AC$31,grunnur!$C$5:$C$31,"Garðabær",grunnur!$D$5:$D$31,"7")+SUMIFS(grunnur!AC$5:AC$31,grunnur!$C$5:$C$31,"Garðabær",grunnur!$D$5:$D$31,"8")</f>
        <v>130348.90000000001</v>
      </c>
      <c r="AD7" s="1">
        <f>+SUMIFS(grunnur!AD$5:AD$31,grunnur!$C$5:$C$31,"Garðabær",grunnur!$D$5:$D$31,"7")+SUMIFS(grunnur!AD$5:AD$31,grunnur!$C$5:$C$31,"Garðabær",grunnur!$D$5:$D$31,"8")</f>
        <v>128625.2</v>
      </c>
      <c r="AE7" s="1">
        <f>+SUMIFS(grunnur!AE$5:AE$31,grunnur!$C$5:$C$31,"Garðabær",grunnur!$D$5:$D$31,"7")+SUMIFS(grunnur!AE$5:AE$31,grunnur!$C$5:$C$31,"Garðabær",grunnur!$D$5:$D$31,"8")</f>
        <v>128996.4</v>
      </c>
      <c r="AF7" s="1">
        <f>+SUMIFS(grunnur!AF$5:AF$31,grunnur!$C$5:$C$31,"Garðabær",grunnur!$D$5:$D$31,"7")+SUMIFS(grunnur!AF$5:AF$31,grunnur!$C$5:$C$31,"Garðabær",grunnur!$D$5:$D$31,"8")</f>
        <v>128996.4</v>
      </c>
    </row>
    <row r="8" spans="2:33" x14ac:dyDescent="0.25">
      <c r="B8" s="10">
        <v>1400</v>
      </c>
      <c r="C8" s="10" t="s">
        <v>14</v>
      </c>
      <c r="D8" s="23">
        <v>7.8</v>
      </c>
      <c r="E8" t="s">
        <v>34</v>
      </c>
      <c r="F8" s="1">
        <f>+SUMIFS(grunnur!F$5:F$31,grunnur!$C$5:$C$31,"Hafnarfjörður",grunnur!$D$5:$D$31,"7")+SUMIFS(grunnur!F$5:F$31,grunnur!$C$5:$C$31,"Hafnarfjörður",grunnur!$D$5:$D$31,"8")</f>
        <v>175148.1</v>
      </c>
      <c r="G8" s="1">
        <f>+SUMIFS(grunnur!G$5:G$31,grunnur!$C$5:$C$31,"Hafnarfjörður",grunnur!$D$5:$D$31,"7")+SUMIFS(grunnur!G$5:G$31,grunnur!$C$5:$C$31,"Hafnarfjörður",grunnur!$D$5:$D$31,"8")</f>
        <v>178851.69999999998</v>
      </c>
      <c r="H8" s="1">
        <f>+SUMIFS(grunnur!H$5:H$31,grunnur!$C$5:$C$31,"Hafnarfjörður",grunnur!$D$5:$D$31,"7")+SUMIFS(grunnur!H$5:H$31,grunnur!$C$5:$C$31,"Hafnarfjörður",grunnur!$D$5:$D$31,"8")</f>
        <v>180413.80000000002</v>
      </c>
      <c r="I8" s="1">
        <f>+SUMIFS(grunnur!I$5:I$31,grunnur!$C$5:$C$31,"Hafnarfjörður",grunnur!$D$5:$D$31,"7")+SUMIFS(grunnur!I$5:I$31,grunnur!$C$5:$C$31,"Hafnarfjörður",grunnur!$D$5:$D$31,"8")</f>
        <v>190343.7</v>
      </c>
      <c r="J8" s="1">
        <f>+SUMIFS(grunnur!J$5:J$31,grunnur!$C$5:$C$31,"Hafnarfjörður",grunnur!$D$5:$D$31,"7")+SUMIFS(grunnur!J$5:J$31,grunnur!$C$5:$C$31,"Hafnarfjörður",grunnur!$D$5:$D$31,"8")</f>
        <v>193554.4</v>
      </c>
      <c r="K8" s="1">
        <f>+SUMIFS(grunnur!K$5:K$31,grunnur!$C$5:$C$31,"Hafnarfjörður",grunnur!$D$5:$D$31,"7")+SUMIFS(grunnur!K$5:K$31,grunnur!$C$5:$C$31,"Hafnarfjörður",grunnur!$D$5:$D$31,"8")</f>
        <v>212387.4</v>
      </c>
      <c r="L8" s="1">
        <f>+SUMIFS(grunnur!L$5:L$31,grunnur!$C$5:$C$31,"Hafnarfjörður",grunnur!$D$5:$D$31,"7")+SUMIFS(grunnur!L$5:L$31,grunnur!$C$5:$C$31,"Hafnarfjörður",grunnur!$D$5:$D$31,"8")</f>
        <v>213339.19999999998</v>
      </c>
      <c r="M8" s="1">
        <f>+SUMIFS(grunnur!M$5:M$31,grunnur!$C$5:$C$31,"Hafnarfjörður",grunnur!$D$5:$D$31,"7")+SUMIFS(grunnur!M$5:M$31,grunnur!$C$5:$C$31,"Hafnarfjörður",grunnur!$D$5:$D$31,"8")</f>
        <v>221318.9</v>
      </c>
      <c r="N8" s="1">
        <f>+SUMIFS(grunnur!N$5:N$31,grunnur!$C$5:$C$31,"Hafnarfjörður",grunnur!$D$5:$D$31,"7")+SUMIFS(grunnur!N$5:N$31,grunnur!$C$5:$C$31,"Hafnarfjörður",grunnur!$D$5:$D$31,"8")</f>
        <v>225292.6</v>
      </c>
      <c r="O8" s="1">
        <f>+SUMIFS(grunnur!O$5:O$31,grunnur!$C$5:$C$31,"Hafnarfjörður",grunnur!$D$5:$D$31,"7")+SUMIFS(grunnur!O$5:O$31,grunnur!$C$5:$C$31,"Hafnarfjörður",grunnur!$D$5:$D$31,"8")</f>
        <v>227297.3</v>
      </c>
      <c r="P8" s="1">
        <f>+SUMIFS(grunnur!P$5:P$31,grunnur!$C$5:$C$31,"Hafnarfjörður",grunnur!$D$5:$D$31,"7")+SUMIFS(grunnur!P$5:P$31,grunnur!$C$5:$C$31,"Hafnarfjörður",grunnur!$D$5:$D$31,"8")</f>
        <v>240409.69999999998</v>
      </c>
      <c r="Q8" s="1">
        <f>+SUMIFS(grunnur!Q$5:Q$31,grunnur!$C$5:$C$31,"Hafnarfjörður",grunnur!$D$5:$D$31,"7")+SUMIFS(grunnur!Q$5:Q$31,grunnur!$C$5:$C$31,"Hafnarfjörður",grunnur!$D$5:$D$31,"8")</f>
        <v>246950.30000000002</v>
      </c>
      <c r="R8" s="1">
        <f>+SUMIFS(grunnur!R$5:R$31,grunnur!$C$5:$C$31,"Hafnarfjörður",grunnur!$D$5:$D$31,"7")+SUMIFS(grunnur!R$5:R$31,grunnur!$C$5:$C$31,"Hafnarfjörður",grunnur!$D$5:$D$31,"8")</f>
        <v>269552.3</v>
      </c>
      <c r="S8" s="1">
        <f>+SUMIFS(grunnur!S$5:S$31,grunnur!$C$5:$C$31,"Hafnarfjörður",grunnur!$D$5:$D$31,"7")+SUMIFS(grunnur!S$5:S$31,grunnur!$C$5:$C$31,"Hafnarfjörður",grunnur!$D$5:$D$31,"8")</f>
        <v>306910.5</v>
      </c>
      <c r="T8" s="1">
        <f>+SUMIFS(grunnur!T$5:T$31,grunnur!$C$5:$C$31,"Hafnarfjörður",grunnur!$D$5:$D$31,"7")+SUMIFS(grunnur!T$5:T$31,grunnur!$C$5:$C$31,"Hafnarfjörður",grunnur!$D$5:$D$31,"8")</f>
        <v>331129.59999999998</v>
      </c>
      <c r="U8" s="1">
        <f>+SUMIFS(grunnur!U$5:U$31,grunnur!$C$5:$C$31,"Hafnarfjörður",grunnur!$D$5:$D$31,"7")+SUMIFS(grunnur!U$5:U$31,grunnur!$C$5:$C$31,"Hafnarfjörður",grunnur!$D$5:$D$31,"8")</f>
        <v>346519.1</v>
      </c>
      <c r="V8" s="1">
        <f>+SUMIFS(grunnur!V$5:V$31,grunnur!$C$5:$C$31,"Hafnarfjörður",grunnur!$D$5:$D$31,"7")+SUMIFS(grunnur!V$5:V$31,grunnur!$C$5:$C$31,"Hafnarfjörður",grunnur!$D$5:$D$31,"8")</f>
        <v>347043.2</v>
      </c>
      <c r="W8" s="1">
        <f>+SUMIFS(grunnur!W$5:W$31,grunnur!$C$5:$C$31,"Hafnarfjörður",grunnur!$D$5:$D$31,"7")+SUMIFS(grunnur!W$5:W$31,grunnur!$C$5:$C$31,"Hafnarfjörður",grunnur!$D$5:$D$31,"8")</f>
        <v>348428.9</v>
      </c>
      <c r="X8" s="1">
        <f>+SUMIFS(grunnur!X$5:X$31,grunnur!$C$5:$C$31,"Hafnarfjörður",grunnur!$D$5:$D$31,"7")+SUMIFS(grunnur!X$5:X$31,grunnur!$C$5:$C$31,"Hafnarfjörður",grunnur!$D$5:$D$31,"8")</f>
        <v>346701</v>
      </c>
      <c r="Y8" s="1">
        <f>+SUMIFS(grunnur!Y$5:Y$31,grunnur!$C$5:$C$31,"Hafnarfjörður",grunnur!$D$5:$D$31,"7")+SUMIFS(grunnur!Y$5:Y$31,grunnur!$C$5:$C$31,"Hafnarfjörður",grunnur!$D$5:$D$31,"8")</f>
        <v>344483.8</v>
      </c>
      <c r="Z8" s="1">
        <f>+SUMIFS(grunnur!Z$5:Z$31,grunnur!$C$5:$C$31,"Hafnarfjörður",grunnur!$D$5:$D$31,"7")+SUMIFS(grunnur!Z$5:Z$31,grunnur!$C$5:$C$31,"Hafnarfjörður",grunnur!$D$5:$D$31,"8")</f>
        <v>338630.6</v>
      </c>
      <c r="AA8" s="1">
        <f>+SUMIFS(grunnur!AA$5:AA$31,grunnur!$C$5:$C$31,"Hafnarfjörður",grunnur!$D$5:$D$31,"7")+SUMIFS(grunnur!AA$5:AA$31,grunnur!$C$5:$C$31,"Hafnarfjörður",grunnur!$D$5:$D$31,"8")</f>
        <v>335628.30000000005</v>
      </c>
      <c r="AB8" s="1">
        <f>+SUMIFS(grunnur!AB$5:AB$31,grunnur!$C$5:$C$31,"Hafnarfjörður",grunnur!$D$5:$D$31,"7")+SUMIFS(grunnur!AB$5:AB$31,grunnur!$C$5:$C$31,"Hafnarfjörður",grunnur!$D$5:$D$31,"8")</f>
        <v>351134.7</v>
      </c>
      <c r="AC8" s="1">
        <f>+SUMIFS(grunnur!AC$5:AC$31,grunnur!$C$5:$C$31,"Hafnarfjörður",grunnur!$D$5:$D$31,"7")+SUMIFS(grunnur!AC$5:AC$31,grunnur!$C$5:$C$31,"Hafnarfjörður",grunnur!$D$5:$D$31,"8")</f>
        <v>359450.3</v>
      </c>
      <c r="AD8" s="1">
        <f>+SUMIFS(grunnur!AD$5:AD$31,grunnur!$C$5:$C$31,"Hafnarfjörður",grunnur!$D$5:$D$31,"7")+SUMIFS(grunnur!AD$5:AD$31,grunnur!$C$5:$C$31,"Hafnarfjörður",grunnur!$D$5:$D$31,"8")</f>
        <v>380740.69999999995</v>
      </c>
      <c r="AE8" s="1">
        <f>+SUMIFS(grunnur!AE$5:AE$31,grunnur!$C$5:$C$31,"Hafnarfjörður",grunnur!$D$5:$D$31,"7")+SUMIFS(grunnur!AE$5:AE$31,grunnur!$C$5:$C$31,"Hafnarfjörður",grunnur!$D$5:$D$31,"8")</f>
        <v>392799.5</v>
      </c>
      <c r="AF8" s="1">
        <f>+SUMIFS(grunnur!AF$5:AF$31,grunnur!$C$5:$C$31,"Hafnarfjörður",grunnur!$D$5:$D$31,"7")+SUMIFS(grunnur!AF$5:AF$31,grunnur!$C$5:$C$31,"Hafnarfjörður",grunnur!$D$5:$D$31,"8")</f>
        <v>403570.60000000003</v>
      </c>
    </row>
    <row r="9" spans="2:33" x14ac:dyDescent="0.25">
      <c r="B9" s="10">
        <v>1604</v>
      </c>
      <c r="C9" s="10" t="s">
        <v>15</v>
      </c>
      <c r="D9" s="23">
        <v>7.8</v>
      </c>
      <c r="E9" t="s">
        <v>34</v>
      </c>
      <c r="F9" s="1">
        <f>+SUMIFS(grunnur!F$5:F$31,grunnur!$C$5:$C$31,"Mosfellsbær",grunnur!$D$5:$D$31,"7")+SUMIFS(grunnur!F$5:F$31,grunnur!$C$5:$C$31,"Mosfellsbær",grunnur!$D$5:$D$31,"8")</f>
        <v>23272.799999999999</v>
      </c>
      <c r="G9" s="1">
        <f>+SUMIFS(grunnur!G$5:G$31,grunnur!$C$5:$C$31,"Mosfellsbær",grunnur!$D$5:$D$31,"7")+SUMIFS(grunnur!G$5:G$31,grunnur!$C$5:$C$31,"Mosfellsbær",grunnur!$D$5:$D$31,"8")</f>
        <v>27061.5</v>
      </c>
      <c r="H9" s="1">
        <f>+SUMIFS(grunnur!H$5:H$31,grunnur!$C$5:$C$31,"Mosfellsbær",grunnur!$D$5:$D$31,"7")+SUMIFS(grunnur!H$5:H$31,grunnur!$C$5:$C$31,"Mosfellsbær",grunnur!$D$5:$D$31,"8")</f>
        <v>26121.5</v>
      </c>
      <c r="I9" s="1">
        <f>+SUMIFS(grunnur!I$5:I$31,grunnur!$C$5:$C$31,"Mosfellsbær",grunnur!$D$5:$D$31,"7")+SUMIFS(grunnur!I$5:I$31,grunnur!$C$5:$C$31,"Mosfellsbær",grunnur!$D$5:$D$31,"8")</f>
        <v>26442.400000000001</v>
      </c>
      <c r="J9" s="1">
        <f>+SUMIFS(grunnur!J$5:J$31,grunnur!$C$5:$C$31,"Mosfellsbær",grunnur!$D$5:$D$31,"7")+SUMIFS(grunnur!J$5:J$31,grunnur!$C$5:$C$31,"Mosfellsbær",grunnur!$D$5:$D$31,"8")</f>
        <v>27278.899999999998</v>
      </c>
      <c r="K9" s="1">
        <f>+SUMIFS(grunnur!K$5:K$31,grunnur!$C$5:$C$31,"Mosfellsbær",grunnur!$D$5:$D$31,"7")+SUMIFS(grunnur!K$5:K$31,grunnur!$C$5:$C$31,"Mosfellsbær",grunnur!$D$5:$D$31,"8")</f>
        <v>30427.3</v>
      </c>
      <c r="L9" s="1">
        <f>+SUMIFS(grunnur!L$5:L$31,grunnur!$C$5:$C$31,"Mosfellsbær",grunnur!$D$5:$D$31,"7")+SUMIFS(grunnur!L$5:L$31,grunnur!$C$5:$C$31,"Mosfellsbær",grunnur!$D$5:$D$31,"8")</f>
        <v>30531.899999999998</v>
      </c>
      <c r="M9" s="1">
        <f>+SUMIFS(grunnur!M$5:M$31,grunnur!$C$5:$C$31,"Mosfellsbær",grunnur!$D$5:$D$31,"7")+SUMIFS(grunnur!M$5:M$31,grunnur!$C$5:$C$31,"Mosfellsbær",grunnur!$D$5:$D$31,"8")</f>
        <v>41164.699999999997</v>
      </c>
      <c r="N9" s="1">
        <f>+SUMIFS(grunnur!N$5:N$31,grunnur!$C$5:$C$31,"Mosfellsbær",grunnur!$D$5:$D$31,"7")+SUMIFS(grunnur!N$5:N$31,grunnur!$C$5:$C$31,"Mosfellsbær",grunnur!$D$5:$D$31,"8")</f>
        <v>44199.1</v>
      </c>
      <c r="O9" s="1">
        <f>+SUMIFS(grunnur!O$5:O$31,grunnur!$C$5:$C$31,"Mosfellsbær",grunnur!$D$5:$D$31,"7")+SUMIFS(grunnur!O$5:O$31,grunnur!$C$5:$C$31,"Mosfellsbær",grunnur!$D$5:$D$31,"8")</f>
        <v>53115</v>
      </c>
      <c r="P9" s="1">
        <f>+SUMIFS(grunnur!P$5:P$31,grunnur!$C$5:$C$31,"Mosfellsbær",grunnur!$D$5:$D$31,"7")+SUMIFS(grunnur!P$5:P$31,grunnur!$C$5:$C$31,"Mosfellsbær",grunnur!$D$5:$D$31,"8")</f>
        <v>51956.6</v>
      </c>
      <c r="Q9" s="1">
        <f>+SUMIFS(grunnur!Q$5:Q$31,grunnur!$C$5:$C$31,"Mosfellsbær",grunnur!$D$5:$D$31,"7")+SUMIFS(grunnur!Q$5:Q$31,grunnur!$C$5:$C$31,"Mosfellsbær",grunnur!$D$5:$D$31,"8")</f>
        <v>53705.1</v>
      </c>
      <c r="R9" s="1">
        <f>+SUMIFS(grunnur!R$5:R$31,grunnur!$C$5:$C$31,"Mosfellsbær",grunnur!$D$5:$D$31,"7")+SUMIFS(grunnur!R$5:R$31,grunnur!$C$5:$C$31,"Mosfellsbær",grunnur!$D$5:$D$31,"8")</f>
        <v>55474</v>
      </c>
      <c r="S9" s="1">
        <f>+SUMIFS(grunnur!S$5:S$31,grunnur!$C$5:$C$31,"Mosfellsbær",grunnur!$D$5:$D$31,"7")+SUMIFS(grunnur!S$5:S$31,grunnur!$C$5:$C$31,"Mosfellsbær",grunnur!$D$5:$D$31,"8")</f>
        <v>59359.700000000004</v>
      </c>
      <c r="T9" s="1">
        <f>+SUMIFS(grunnur!T$5:T$31,grunnur!$C$5:$C$31,"Mosfellsbær",grunnur!$D$5:$D$31,"7")+SUMIFS(grunnur!T$5:T$31,grunnur!$C$5:$C$31,"Mosfellsbær",grunnur!$D$5:$D$31,"8")</f>
        <v>65655.3</v>
      </c>
      <c r="U9" s="1">
        <f>+SUMIFS(grunnur!U$5:U$31,grunnur!$C$5:$C$31,"Mosfellsbær",grunnur!$D$5:$D$31,"7")+SUMIFS(grunnur!U$5:U$31,grunnur!$C$5:$C$31,"Mosfellsbær",grunnur!$D$5:$D$31,"8")</f>
        <v>65592.800000000003</v>
      </c>
      <c r="V9" s="1">
        <f>+SUMIFS(grunnur!V$5:V$31,grunnur!$C$5:$C$31,"Mosfellsbær",grunnur!$D$5:$D$31,"7")+SUMIFS(grunnur!V$5:V$31,grunnur!$C$5:$C$31,"Mosfellsbær",grunnur!$D$5:$D$31,"8")</f>
        <v>66219.5</v>
      </c>
      <c r="W9" s="1">
        <f>+SUMIFS(grunnur!W$5:W$31,grunnur!$C$5:$C$31,"Mosfellsbær",grunnur!$D$5:$D$31,"7")+SUMIFS(grunnur!W$5:W$31,grunnur!$C$5:$C$31,"Mosfellsbær",grunnur!$D$5:$D$31,"8")</f>
        <v>66219.5</v>
      </c>
      <c r="X9" s="1">
        <f>+SUMIFS(grunnur!X$5:X$31,grunnur!$C$5:$C$31,"Mosfellsbær",grunnur!$D$5:$D$31,"7")+SUMIFS(grunnur!X$5:X$31,grunnur!$C$5:$C$31,"Mosfellsbær",grunnur!$D$5:$D$31,"8")</f>
        <v>68808.3</v>
      </c>
      <c r="Y9" s="1">
        <f>+SUMIFS(grunnur!Y$5:Y$31,grunnur!$C$5:$C$31,"Mosfellsbær",grunnur!$D$5:$D$31,"7")+SUMIFS(grunnur!Y$5:Y$31,grunnur!$C$5:$C$31,"Mosfellsbær",grunnur!$D$5:$D$31,"8")</f>
        <v>69275.100000000006</v>
      </c>
      <c r="Z9" s="1">
        <f>+SUMIFS(grunnur!Z$5:Z$31,grunnur!$C$5:$C$31,"Mosfellsbær",grunnur!$D$5:$D$31,"7")+SUMIFS(grunnur!Z$5:Z$31,grunnur!$C$5:$C$31,"Mosfellsbær",grunnur!$D$5:$D$31,"8")</f>
        <v>71530.100000000006</v>
      </c>
      <c r="AA9" s="1">
        <f>+SUMIFS(grunnur!AA$5:AA$31,grunnur!$C$5:$C$31,"Mosfellsbær",grunnur!$D$5:$D$31,"7")+SUMIFS(grunnur!AA$5:AA$31,grunnur!$C$5:$C$31,"Mosfellsbær",grunnur!$D$5:$D$31,"8")</f>
        <v>71531.100000000006</v>
      </c>
      <c r="AB9" s="1">
        <f>+SUMIFS(grunnur!AB$5:AB$31,grunnur!$C$5:$C$31,"Mosfellsbær",grunnur!$D$5:$D$31,"7")+SUMIFS(grunnur!AB$5:AB$31,grunnur!$C$5:$C$31,"Mosfellsbær",grunnur!$D$5:$D$31,"8")</f>
        <v>77039.599999999991</v>
      </c>
      <c r="AC9" s="1">
        <f>+SUMIFS(grunnur!AC$5:AC$31,grunnur!$C$5:$C$31,"Mosfellsbær",grunnur!$D$5:$D$31,"7")+SUMIFS(grunnur!AC$5:AC$31,grunnur!$C$5:$C$31,"Mosfellsbær",grunnur!$D$5:$D$31,"8")</f>
        <v>79057</v>
      </c>
      <c r="AD9" s="1">
        <f>+SUMIFS(grunnur!AD$5:AD$31,grunnur!$C$5:$C$31,"Mosfellsbær",grunnur!$D$5:$D$31,"7")+SUMIFS(grunnur!AD$5:AD$31,grunnur!$C$5:$C$31,"Mosfellsbær",grunnur!$D$5:$D$31,"8")</f>
        <v>85923.8</v>
      </c>
      <c r="AE9" s="1">
        <f>+SUMIFS(grunnur!AE$5:AE$31,grunnur!$C$5:$C$31,"Mosfellsbær",grunnur!$D$5:$D$31,"7")+SUMIFS(grunnur!AE$5:AE$31,grunnur!$C$5:$C$31,"Mosfellsbær",grunnur!$D$5:$D$31,"8")</f>
        <v>96259.7</v>
      </c>
      <c r="AF9" s="1">
        <f>+SUMIFS(grunnur!AF$5:AF$31,grunnur!$C$5:$C$31,"Mosfellsbær",grunnur!$D$5:$D$31,"7")+SUMIFS(grunnur!AF$5:AF$31,grunnur!$C$5:$C$31,"Mosfellsbær",grunnur!$D$5:$D$31,"8")</f>
        <v>102179.2</v>
      </c>
    </row>
    <row r="10" spans="2:33" x14ac:dyDescent="0.25">
      <c r="B10" s="16">
        <v>1606</v>
      </c>
      <c r="C10" s="16" t="s">
        <v>16</v>
      </c>
      <c r="D10" s="24">
        <v>7.8</v>
      </c>
      <c r="E10" s="18" t="s">
        <v>34</v>
      </c>
      <c r="F10" s="3">
        <f>+SUMIFS(grunnur!F$5:F$31,grunnur!$C$5:$C$31,"Kjósarhreppur",grunnur!$D$5:$D$31,"7")+SUMIFS(grunnur!F$5:F$31,grunnur!$C$5:$C$31,"Kjósarhreppur",grunnur!$D$5:$D$31,"8")</f>
        <v>70</v>
      </c>
      <c r="G10" s="3">
        <f>+SUMIFS(grunnur!G$5:G$31,grunnur!$C$5:$C$31,"Kjósarhreppur",grunnur!$D$5:$D$31,"7")+SUMIFS(grunnur!G$5:G$31,grunnur!$C$5:$C$31,"Kjósarhreppur",grunnur!$D$5:$D$31,"8")</f>
        <v>246</v>
      </c>
      <c r="H10" s="3">
        <f>+SUMIFS(grunnur!H$5:H$31,grunnur!$C$5:$C$31,"Kjósarhreppur",grunnur!$D$5:$D$31,"7")+SUMIFS(grunnur!H$5:H$31,grunnur!$C$5:$C$31,"Kjósarhreppur",grunnur!$D$5:$D$31,"8")</f>
        <v>306.89999999999998</v>
      </c>
      <c r="I10" s="3">
        <f>+SUMIFS(grunnur!I$5:I$31,grunnur!$C$5:$C$31,"Kjósarhreppur",grunnur!$D$5:$D$31,"7")+SUMIFS(grunnur!I$5:I$31,grunnur!$C$5:$C$31,"Kjósarhreppur",grunnur!$D$5:$D$31,"8")</f>
        <v>306.89999999999998</v>
      </c>
      <c r="J10" s="3">
        <f>+SUMIFS(grunnur!J$5:J$31,grunnur!$C$5:$C$31,"Kjósarhreppur",grunnur!$D$5:$D$31,"7")+SUMIFS(grunnur!J$5:J$31,grunnur!$C$5:$C$31,"Kjósarhreppur",grunnur!$D$5:$D$31,"8")</f>
        <v>306.89999999999998</v>
      </c>
      <c r="K10" s="3">
        <f>+SUMIFS(grunnur!K$5:K$31,grunnur!$C$5:$C$31,"Kjósarhreppur",grunnur!$D$5:$D$31,"7")+SUMIFS(grunnur!K$5:K$31,grunnur!$C$5:$C$31,"Kjósarhreppur",grunnur!$D$5:$D$31,"8")</f>
        <v>306.89999999999998</v>
      </c>
      <c r="L10" s="3">
        <f>+SUMIFS(grunnur!L$5:L$31,grunnur!$C$5:$C$31,"Kjósarhreppur",grunnur!$D$5:$D$31,"7")+SUMIFS(grunnur!L$5:L$31,grunnur!$C$5:$C$31,"Kjósarhreppur",grunnur!$D$5:$D$31,"8")</f>
        <v>306.89999999999998</v>
      </c>
      <c r="M10" s="3">
        <f>+SUMIFS(grunnur!M$5:M$31,grunnur!$C$5:$C$31,"Kjósarhreppur",grunnur!$D$5:$D$31,"7")+SUMIFS(grunnur!M$5:M$31,grunnur!$C$5:$C$31,"Kjósarhreppur",grunnur!$D$5:$D$31,"8")</f>
        <v>136.5</v>
      </c>
      <c r="N10" s="3">
        <f>+SUMIFS(grunnur!N$5:N$31,grunnur!$C$5:$C$31,"Kjósarhreppur",grunnur!$D$5:$D$31,"7")+SUMIFS(grunnur!N$5:N$31,grunnur!$C$5:$C$31,"Kjósarhreppur",grunnur!$D$5:$D$31,"8")</f>
        <v>136.5</v>
      </c>
      <c r="O10" s="3">
        <f>+SUMIFS(grunnur!O$5:O$31,grunnur!$C$5:$C$31,"Kjósarhreppur",grunnur!$D$5:$D$31,"7")+SUMIFS(grunnur!O$5:O$31,grunnur!$C$5:$C$31,"Kjósarhreppur",grunnur!$D$5:$D$31,"8")</f>
        <v>320.2</v>
      </c>
      <c r="P10" s="3">
        <f>+SUMIFS(grunnur!P$5:P$31,grunnur!$C$5:$C$31,"Kjósarhreppur",grunnur!$D$5:$D$31,"7")+SUMIFS(grunnur!P$5:P$31,grunnur!$C$5:$C$31,"Kjósarhreppur",grunnur!$D$5:$D$31,"8")</f>
        <v>320.2</v>
      </c>
      <c r="Q10" s="3">
        <f>+SUMIFS(grunnur!Q$5:Q$31,grunnur!$C$5:$C$31,"Kjósarhreppur",grunnur!$D$5:$D$31,"7")+SUMIFS(grunnur!Q$5:Q$31,grunnur!$C$5:$C$31,"Kjósarhreppur",grunnur!$D$5:$D$31,"8")</f>
        <v>320.2</v>
      </c>
      <c r="R10" s="3">
        <f>+SUMIFS(grunnur!R$5:R$31,grunnur!$C$5:$C$31,"Kjósarhreppur",grunnur!$D$5:$D$31,"7")+SUMIFS(grunnur!R$5:R$31,grunnur!$C$5:$C$31,"Kjósarhreppur",grunnur!$D$5:$D$31,"8")</f>
        <v>725.5</v>
      </c>
      <c r="S10" s="3">
        <f>+SUMIFS(grunnur!S$5:S$31,grunnur!$C$5:$C$31,"Kjósarhreppur",grunnur!$D$5:$D$31,"7")+SUMIFS(grunnur!S$5:S$31,grunnur!$C$5:$C$31,"Kjósarhreppur",grunnur!$D$5:$D$31,"8")</f>
        <v>725.5</v>
      </c>
      <c r="T10" s="3">
        <f>+SUMIFS(grunnur!T$5:T$31,grunnur!$C$5:$C$31,"Kjósarhreppur",grunnur!$D$5:$D$31,"7")+SUMIFS(grunnur!T$5:T$31,grunnur!$C$5:$C$31,"Kjósarhreppur",grunnur!$D$5:$D$31,"8")</f>
        <v>725.5</v>
      </c>
      <c r="U10" s="3">
        <f>+SUMIFS(grunnur!U$5:U$31,grunnur!$C$5:$C$31,"Kjósarhreppur",grunnur!$D$5:$D$31,"7")+SUMIFS(grunnur!U$5:U$31,grunnur!$C$5:$C$31,"Kjósarhreppur",grunnur!$D$5:$D$31,"8")</f>
        <v>725.5</v>
      </c>
      <c r="V10" s="3">
        <f>+SUMIFS(grunnur!V$5:V$31,grunnur!$C$5:$C$31,"Kjósarhreppur",grunnur!$D$5:$D$31,"7")+SUMIFS(grunnur!V$5:V$31,grunnur!$C$5:$C$31,"Kjósarhreppur",grunnur!$D$5:$D$31,"8")</f>
        <v>1023.5</v>
      </c>
      <c r="W10" s="3">
        <f>+SUMIFS(grunnur!W$5:W$31,grunnur!$C$5:$C$31,"Kjósarhreppur",grunnur!$D$5:$D$31,"7")+SUMIFS(grunnur!W$5:W$31,grunnur!$C$5:$C$31,"Kjósarhreppur",grunnur!$D$5:$D$31,"8")</f>
        <v>1023.5</v>
      </c>
      <c r="X10" s="3">
        <f>+SUMIFS(grunnur!X$5:X$31,grunnur!$C$5:$C$31,"Kjósarhreppur",grunnur!$D$5:$D$31,"7")+SUMIFS(grunnur!X$5:X$31,grunnur!$C$5:$C$31,"Kjósarhreppur",grunnur!$D$5:$D$31,"8")</f>
        <v>1023.5</v>
      </c>
      <c r="Y10" s="3">
        <f>+SUMIFS(grunnur!Y$5:Y$31,grunnur!$C$5:$C$31,"Kjósarhreppur",grunnur!$D$5:$D$31,"7")+SUMIFS(grunnur!Y$5:Y$31,grunnur!$C$5:$C$31,"Kjósarhreppur",grunnur!$D$5:$D$31,"8")</f>
        <v>1023.5</v>
      </c>
      <c r="Z10" s="3">
        <f>+SUMIFS(grunnur!Z$5:Z$31,grunnur!$C$5:$C$31,"Kjósarhreppur",grunnur!$D$5:$D$31,"7")+SUMIFS(grunnur!Z$5:Z$31,grunnur!$C$5:$C$31,"Kjósarhreppur",grunnur!$D$5:$D$31,"8")</f>
        <v>1023.5</v>
      </c>
      <c r="AA10" s="3">
        <f>+SUMIFS(grunnur!AA$5:AA$31,grunnur!$C$5:$C$31,"Kjósarhreppur",grunnur!$D$5:$D$31,"7")+SUMIFS(grunnur!AA$5:AA$31,grunnur!$C$5:$C$31,"Kjósarhreppur",grunnur!$D$5:$D$31,"8")</f>
        <v>1065.5</v>
      </c>
      <c r="AB10" s="3">
        <f>+SUMIFS(grunnur!AB$5:AB$31,grunnur!$C$5:$C$31,"Kjósarhreppur",grunnur!$D$5:$D$31,"7")+SUMIFS(grunnur!AB$5:AB$31,grunnur!$C$5:$C$31,"Kjósarhreppur",grunnur!$D$5:$D$31,"8")</f>
        <v>1065.5</v>
      </c>
      <c r="AC10" s="3">
        <f>+SUMIFS(grunnur!AC$5:AC$31,grunnur!$C$5:$C$31,"Kjósarhreppur",grunnur!$D$5:$D$31,"7")+SUMIFS(grunnur!AC$5:AC$31,grunnur!$C$5:$C$31,"Kjósarhreppur",grunnur!$D$5:$D$31,"8")</f>
        <v>1084.9000000000001</v>
      </c>
      <c r="AD10" s="3">
        <f>+SUMIFS(grunnur!AD$5:AD$31,grunnur!$C$5:$C$31,"Kjósarhreppur",grunnur!$D$5:$D$31,"7")+SUMIFS(grunnur!AD$5:AD$31,grunnur!$C$5:$C$31,"Kjósarhreppur",grunnur!$D$5:$D$31,"8")</f>
        <v>1640.2</v>
      </c>
      <c r="AE10" s="3">
        <f>+SUMIFS(grunnur!AE$5:AE$31,grunnur!$C$5:$C$31,"Kjósarhreppur",grunnur!$D$5:$D$31,"7")+SUMIFS(grunnur!AE$5:AE$31,grunnur!$C$5:$C$31,"Kjósarhreppur",grunnur!$D$5:$D$31,"8")</f>
        <v>1640.2</v>
      </c>
      <c r="AF10" s="3">
        <f>+SUMIFS(grunnur!AF$5:AF$31,grunnur!$C$5:$C$31,"Kjósarhreppur",grunnur!$D$5:$D$31,"7")+SUMIFS(grunnur!AF$5:AF$31,grunnur!$C$5:$C$31,"Kjósarhreppur",grunnur!$D$5:$D$31,"8")</f>
        <v>1690.1000000000001</v>
      </c>
    </row>
    <row r="11" spans="2:33" x14ac:dyDescent="0.25">
      <c r="C11" s="10" t="s">
        <v>21</v>
      </c>
      <c r="D11" s="23">
        <v>7.8</v>
      </c>
      <c r="E11" t="s">
        <v>34</v>
      </c>
      <c r="F11" s="1">
        <f>+SUM(F4:F10)</f>
        <v>1394081.1000000003</v>
      </c>
      <c r="G11" s="1">
        <f t="shared" ref="G11:AF11" si="0">+SUM(G4:G10)</f>
        <v>1416142.3</v>
      </c>
      <c r="H11" s="1">
        <f t="shared" si="0"/>
        <v>1421792.0999999996</v>
      </c>
      <c r="I11" s="1">
        <f t="shared" si="0"/>
        <v>1453326.1999999997</v>
      </c>
      <c r="J11" s="1">
        <f t="shared" si="0"/>
        <v>1522908.2999999996</v>
      </c>
      <c r="K11" s="1">
        <f t="shared" si="0"/>
        <v>1567717.5</v>
      </c>
      <c r="L11" s="1">
        <f t="shared" si="0"/>
        <v>1610728.1999999997</v>
      </c>
      <c r="M11" s="1">
        <f t="shared" si="0"/>
        <v>1661523.7999999998</v>
      </c>
      <c r="N11" s="1">
        <f t="shared" si="0"/>
        <v>1681043.5000000002</v>
      </c>
      <c r="O11" s="1">
        <f t="shared" si="0"/>
        <v>1763038.4000000001</v>
      </c>
      <c r="P11" s="1">
        <f t="shared" si="0"/>
        <v>1769119</v>
      </c>
      <c r="Q11" s="1">
        <f t="shared" si="0"/>
        <v>1818477.8000000003</v>
      </c>
      <c r="R11" s="1">
        <f t="shared" si="0"/>
        <v>1851269.4</v>
      </c>
      <c r="S11" s="1">
        <f t="shared" si="0"/>
        <v>1913491</v>
      </c>
      <c r="T11" s="1">
        <f t="shared" si="0"/>
        <v>1977717.7</v>
      </c>
      <c r="U11" s="1">
        <f t="shared" si="0"/>
        <v>2006027.1000000003</v>
      </c>
      <c r="V11" s="1">
        <f t="shared" si="0"/>
        <v>2009492.7</v>
      </c>
      <c r="W11" s="1">
        <f t="shared" si="0"/>
        <v>2003450.1</v>
      </c>
      <c r="X11" s="1">
        <f t="shared" si="0"/>
        <v>2009226.7</v>
      </c>
      <c r="Y11" s="1">
        <f t="shared" si="0"/>
        <v>2002992.8</v>
      </c>
      <c r="Z11" s="1">
        <f t="shared" si="0"/>
        <v>1976408.6999999997</v>
      </c>
      <c r="AA11" s="1">
        <f t="shared" si="0"/>
        <v>1991359.3</v>
      </c>
      <c r="AB11" s="1">
        <f t="shared" si="0"/>
        <v>1988841.8000000003</v>
      </c>
      <c r="AC11" s="1">
        <f t="shared" si="0"/>
        <v>2014911.5</v>
      </c>
      <c r="AD11" s="1">
        <f t="shared" si="0"/>
        <v>2056141.6999999997</v>
      </c>
      <c r="AE11" s="1">
        <f t="shared" si="0"/>
        <v>2092245.0999999996</v>
      </c>
      <c r="AF11" s="1">
        <f t="shared" si="0"/>
        <v>2081954.4000000001</v>
      </c>
    </row>
    <row r="12" spans="2:33" x14ac:dyDescent="0.25">
      <c r="AF12" s="11"/>
    </row>
    <row r="13" spans="2:33" s="15" customFormat="1" x14ac:dyDescent="0.25">
      <c r="B13" s="13" t="s">
        <v>22</v>
      </c>
      <c r="C13" s="13"/>
      <c r="D13" s="14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2:33" x14ac:dyDescent="0.25">
      <c r="B14" s="7" t="s">
        <v>2</v>
      </c>
      <c r="C14" s="7" t="s">
        <v>18</v>
      </c>
      <c r="D14" s="7" t="s">
        <v>3</v>
      </c>
      <c r="E14" s="9" t="s">
        <v>4</v>
      </c>
      <c r="F14" s="22"/>
      <c r="G14" s="9">
        <v>1995</v>
      </c>
      <c r="H14" s="9">
        <v>1996</v>
      </c>
      <c r="I14" s="9">
        <v>1997</v>
      </c>
      <c r="J14" s="9">
        <v>1998</v>
      </c>
      <c r="K14" s="9">
        <v>1999</v>
      </c>
      <c r="L14" s="9">
        <v>2000</v>
      </c>
      <c r="M14" s="9">
        <v>2001</v>
      </c>
      <c r="N14" s="9">
        <v>2002</v>
      </c>
      <c r="O14" s="9">
        <v>2003</v>
      </c>
      <c r="P14" s="9">
        <v>2004</v>
      </c>
      <c r="Q14" s="9">
        <v>2005</v>
      </c>
      <c r="R14" s="9">
        <v>2006</v>
      </c>
      <c r="S14" s="9">
        <v>2007</v>
      </c>
      <c r="T14" s="9">
        <v>2008</v>
      </c>
      <c r="U14" s="9">
        <v>2009</v>
      </c>
      <c r="V14" s="9">
        <v>2010</v>
      </c>
      <c r="W14" s="9">
        <v>2011</v>
      </c>
      <c r="X14" s="9">
        <v>2012</v>
      </c>
      <c r="Y14" s="9">
        <v>2013</v>
      </c>
      <c r="Z14" s="9">
        <v>2014</v>
      </c>
      <c r="AA14" s="9">
        <v>2015</v>
      </c>
      <c r="AB14" s="9">
        <v>2016</v>
      </c>
      <c r="AC14" s="9">
        <v>2017</v>
      </c>
      <c r="AD14" s="9">
        <v>2018</v>
      </c>
      <c r="AE14" s="9">
        <v>2019</v>
      </c>
      <c r="AF14" s="9">
        <v>2020</v>
      </c>
    </row>
    <row r="15" spans="2:33" x14ac:dyDescent="0.25">
      <c r="B15" s="6" t="s">
        <v>5</v>
      </c>
      <c r="C15" s="10" t="s">
        <v>6</v>
      </c>
      <c r="D15" s="23">
        <v>7.8</v>
      </c>
      <c r="E15" t="s">
        <v>34</v>
      </c>
      <c r="F15" s="1"/>
      <c r="G15" s="1">
        <f>+G4-F4</f>
        <v>1105.8000000000466</v>
      </c>
      <c r="H15" s="1">
        <f t="shared" ref="H15:AF22" si="1">+H4-G4</f>
        <v>-7635.3000000000466</v>
      </c>
      <c r="I15" s="1">
        <f t="shared" si="1"/>
        <v>8555.5000000001164</v>
      </c>
      <c r="J15" s="1">
        <f t="shared" si="1"/>
        <v>27337.599999999977</v>
      </c>
      <c r="K15" s="1">
        <f t="shared" si="1"/>
        <v>2413.7000000000698</v>
      </c>
      <c r="L15" s="1">
        <f t="shared" si="1"/>
        <v>20732.999999999884</v>
      </c>
      <c r="M15" s="1">
        <f t="shared" si="1"/>
        <v>12728.90000000014</v>
      </c>
      <c r="N15" s="1">
        <f t="shared" si="1"/>
        <v>7636.6999999999534</v>
      </c>
      <c r="O15" s="1">
        <f t="shared" si="1"/>
        <v>60085.199999999953</v>
      </c>
      <c r="P15" s="1">
        <f t="shared" si="1"/>
        <v>-11121.600000000093</v>
      </c>
      <c r="Q15" s="1">
        <f t="shared" si="1"/>
        <v>23893.90000000014</v>
      </c>
      <c r="R15" s="1">
        <f t="shared" si="1"/>
        <v>-1194.6000000000931</v>
      </c>
      <c r="S15" s="1">
        <f t="shared" si="1"/>
        <v>3204.8000000000466</v>
      </c>
      <c r="T15" s="1">
        <f t="shared" si="1"/>
        <v>32901.199999999953</v>
      </c>
      <c r="U15" s="1">
        <f t="shared" si="1"/>
        <v>13888.600000000093</v>
      </c>
      <c r="V15" s="1">
        <f t="shared" si="1"/>
        <v>1623.5</v>
      </c>
      <c r="W15" s="1">
        <f t="shared" si="1"/>
        <v>-8222.6000000000931</v>
      </c>
      <c r="X15" s="1">
        <f t="shared" si="1"/>
        <v>3568.5</v>
      </c>
      <c r="Y15" s="1">
        <f t="shared" si="1"/>
        <v>-6735.1999999999534</v>
      </c>
      <c r="Z15" s="1">
        <f t="shared" si="1"/>
        <v>-21536.5</v>
      </c>
      <c r="AA15" s="1">
        <f t="shared" si="1"/>
        <v>18122</v>
      </c>
      <c r="AB15" s="1">
        <f t="shared" si="1"/>
        <v>-3737.3999999999069</v>
      </c>
      <c r="AC15" s="1">
        <f t="shared" si="1"/>
        <v>6482.3999999999069</v>
      </c>
      <c r="AD15" s="1">
        <f t="shared" si="1"/>
        <v>21068.5</v>
      </c>
      <c r="AE15" s="1">
        <f t="shared" si="1"/>
        <v>9918.8999999999069</v>
      </c>
      <c r="AF15" s="1">
        <f t="shared" si="1"/>
        <v>-28428.59999999986</v>
      </c>
    </row>
    <row r="16" spans="2:33" x14ac:dyDescent="0.25">
      <c r="B16" s="10">
        <v>1000</v>
      </c>
      <c r="C16" s="10" t="s">
        <v>11</v>
      </c>
      <c r="D16" s="23">
        <v>7.8</v>
      </c>
      <c r="E16" t="s">
        <v>34</v>
      </c>
      <c r="G16" s="1">
        <f t="shared" ref="G16:V22" si="2">+G5-F5</f>
        <v>9742</v>
      </c>
      <c r="H16" s="1">
        <f t="shared" si="2"/>
        <v>6324.5999999999767</v>
      </c>
      <c r="I16" s="1">
        <f t="shared" si="2"/>
        <v>6250.1000000000058</v>
      </c>
      <c r="J16" s="1">
        <f t="shared" si="2"/>
        <v>25089.900000000023</v>
      </c>
      <c r="K16" s="1">
        <f t="shared" si="2"/>
        <v>17324.799999999988</v>
      </c>
      <c r="L16" s="1">
        <f t="shared" si="2"/>
        <v>10280.399999999994</v>
      </c>
      <c r="M16" s="1">
        <f t="shared" si="2"/>
        <v>2540.8000000000175</v>
      </c>
      <c r="N16" s="1">
        <f t="shared" si="2"/>
        <v>-532.20000000001164</v>
      </c>
      <c r="O16" s="1">
        <f t="shared" si="2"/>
        <v>6758.5</v>
      </c>
      <c r="P16" s="1">
        <f t="shared" si="2"/>
        <v>3452.3000000000175</v>
      </c>
      <c r="Q16" s="1">
        <f t="shared" si="2"/>
        <v>15532.999999999971</v>
      </c>
      <c r="R16" s="1">
        <f t="shared" si="2"/>
        <v>2533.7000000000116</v>
      </c>
      <c r="S16" s="1">
        <f t="shared" si="2"/>
        <v>17776</v>
      </c>
      <c r="T16" s="1">
        <f t="shared" si="2"/>
        <v>1354.3999999999651</v>
      </c>
      <c r="U16" s="1">
        <f t="shared" si="2"/>
        <v>-736.99999999994179</v>
      </c>
      <c r="V16" s="1">
        <f t="shared" si="2"/>
        <v>415.89999999996508</v>
      </c>
      <c r="W16" s="1">
        <f t="shared" si="1"/>
        <v>401.70000000001164</v>
      </c>
      <c r="X16" s="1">
        <f t="shared" si="1"/>
        <v>-219.70000000001164</v>
      </c>
      <c r="Y16" s="1">
        <f t="shared" si="1"/>
        <v>961.60000000003492</v>
      </c>
      <c r="Z16" s="1">
        <f t="shared" si="1"/>
        <v>478</v>
      </c>
      <c r="AA16" s="1">
        <f t="shared" si="1"/>
        <v>-1061.2000000000116</v>
      </c>
      <c r="AB16" s="1">
        <f t="shared" si="1"/>
        <v>-17870.700000000012</v>
      </c>
      <c r="AC16" s="1">
        <f t="shared" si="1"/>
        <v>7635.7999999999884</v>
      </c>
      <c r="AD16" s="1">
        <f t="shared" si="1"/>
        <v>-5309.8999999999651</v>
      </c>
      <c r="AE16" s="1">
        <f t="shared" si="1"/>
        <v>3418.5999999999767</v>
      </c>
      <c r="AF16" s="1">
        <f t="shared" si="1"/>
        <v>1397.4000000000233</v>
      </c>
    </row>
    <row r="17" spans="2:32" x14ac:dyDescent="0.25">
      <c r="B17" s="10">
        <v>1100</v>
      </c>
      <c r="C17" s="10" t="s">
        <v>17</v>
      </c>
      <c r="D17" s="23">
        <v>7.8</v>
      </c>
      <c r="E17" t="s">
        <v>34</v>
      </c>
      <c r="G17" s="1">
        <f t="shared" si="2"/>
        <v>2933</v>
      </c>
      <c r="H17" s="1">
        <f t="shared" si="1"/>
        <v>831.79999999999927</v>
      </c>
      <c r="I17" s="1">
        <f t="shared" si="1"/>
        <v>-695.30000000000109</v>
      </c>
      <c r="J17" s="1">
        <f t="shared" si="1"/>
        <v>64.900000000001455</v>
      </c>
      <c r="K17" s="1">
        <f t="shared" si="1"/>
        <v>-38.600000000000364</v>
      </c>
      <c r="L17" s="1">
        <f t="shared" si="1"/>
        <v>282.60000000000036</v>
      </c>
      <c r="M17" s="1">
        <f t="shared" si="1"/>
        <v>11.699999999998909</v>
      </c>
      <c r="N17" s="1">
        <f t="shared" si="1"/>
        <v>0</v>
      </c>
      <c r="O17" s="1">
        <f t="shared" si="1"/>
        <v>197.40000000000146</v>
      </c>
      <c r="P17" s="1">
        <f t="shared" si="1"/>
        <v>0</v>
      </c>
      <c r="Q17" s="1">
        <f t="shared" si="1"/>
        <v>0</v>
      </c>
      <c r="R17" s="1">
        <f t="shared" si="1"/>
        <v>494.79999999999927</v>
      </c>
      <c r="S17" s="1">
        <f t="shared" si="1"/>
        <v>-4.8999999999996362</v>
      </c>
      <c r="T17" s="1">
        <f t="shared" si="1"/>
        <v>-2753.6000000000004</v>
      </c>
      <c r="U17" s="1">
        <f t="shared" si="1"/>
        <v>0</v>
      </c>
      <c r="V17" s="1">
        <f t="shared" si="1"/>
        <v>0</v>
      </c>
      <c r="W17" s="1">
        <f t="shared" si="1"/>
        <v>0</v>
      </c>
      <c r="X17" s="1">
        <f t="shared" si="1"/>
        <v>0</v>
      </c>
      <c r="Y17" s="1">
        <f t="shared" si="1"/>
        <v>0</v>
      </c>
      <c r="Z17" s="1">
        <f t="shared" si="1"/>
        <v>0</v>
      </c>
      <c r="AA17" s="1">
        <f t="shared" si="1"/>
        <v>0</v>
      </c>
      <c r="AB17" s="1">
        <f t="shared" si="1"/>
        <v>-1924.2999999999993</v>
      </c>
      <c r="AC17" s="1">
        <f t="shared" si="1"/>
        <v>-253</v>
      </c>
      <c r="AD17" s="1">
        <f t="shared" si="1"/>
        <v>-1517.2000000000007</v>
      </c>
      <c r="AE17" s="1">
        <f t="shared" si="1"/>
        <v>0</v>
      </c>
      <c r="AF17" s="1">
        <f t="shared" si="1"/>
        <v>0</v>
      </c>
    </row>
    <row r="18" spans="2:32" x14ac:dyDescent="0.25">
      <c r="B18" s="10">
        <v>1300</v>
      </c>
      <c r="C18" s="10" t="s">
        <v>13</v>
      </c>
      <c r="D18" s="23">
        <v>7.8</v>
      </c>
      <c r="E18" t="s">
        <v>34</v>
      </c>
      <c r="G18" s="1">
        <f t="shared" si="2"/>
        <v>612.10000000000582</v>
      </c>
      <c r="H18" s="1">
        <f t="shared" si="1"/>
        <v>5445.6999999999971</v>
      </c>
      <c r="I18" s="1">
        <f t="shared" si="1"/>
        <v>7173</v>
      </c>
      <c r="J18" s="1">
        <f t="shared" si="1"/>
        <v>13042.499999999993</v>
      </c>
      <c r="K18" s="1">
        <f t="shared" si="1"/>
        <v>3127.8999999999942</v>
      </c>
      <c r="L18" s="1">
        <f t="shared" si="1"/>
        <v>10658.300000000017</v>
      </c>
      <c r="M18" s="1">
        <f t="shared" si="1"/>
        <v>17072.099999999991</v>
      </c>
      <c r="N18" s="1">
        <f t="shared" si="1"/>
        <v>5407.1000000000058</v>
      </c>
      <c r="O18" s="1">
        <f t="shared" si="1"/>
        <v>3849.5</v>
      </c>
      <c r="P18" s="1">
        <f t="shared" si="1"/>
        <v>1795.8999999999942</v>
      </c>
      <c r="Q18" s="1">
        <f t="shared" si="1"/>
        <v>1642.8000000000029</v>
      </c>
      <c r="R18" s="1">
        <f t="shared" si="1"/>
        <v>6181.5</v>
      </c>
      <c r="S18" s="1">
        <f t="shared" si="1"/>
        <v>1.8000000000029104</v>
      </c>
      <c r="T18" s="1">
        <f t="shared" si="1"/>
        <v>2210</v>
      </c>
      <c r="U18" s="1">
        <f t="shared" si="1"/>
        <v>-169.19999999999709</v>
      </c>
      <c r="V18" s="1">
        <f t="shared" si="1"/>
        <v>-22.600000000005821</v>
      </c>
      <c r="W18" s="1">
        <f t="shared" si="1"/>
        <v>392.60000000000582</v>
      </c>
      <c r="X18" s="1">
        <f t="shared" si="1"/>
        <v>1566.8999999999942</v>
      </c>
      <c r="Y18" s="1">
        <f t="shared" si="1"/>
        <v>1290.1000000000058</v>
      </c>
      <c r="Z18" s="1">
        <f t="shared" si="1"/>
        <v>-1927.4000000000087</v>
      </c>
      <c r="AA18" s="1">
        <f t="shared" si="1"/>
        <v>849.10000000000582</v>
      </c>
      <c r="AB18" s="1">
        <f t="shared" si="1"/>
        <v>0</v>
      </c>
      <c r="AC18" s="1">
        <f t="shared" si="1"/>
        <v>1852.1000000000058</v>
      </c>
      <c r="AD18" s="1">
        <f t="shared" si="1"/>
        <v>-1723.7000000000116</v>
      </c>
      <c r="AE18" s="1">
        <f t="shared" si="1"/>
        <v>371.19999999999709</v>
      </c>
      <c r="AF18" s="1">
        <f t="shared" si="1"/>
        <v>0</v>
      </c>
    </row>
    <row r="19" spans="2:32" x14ac:dyDescent="0.25">
      <c r="B19" s="10">
        <v>1400</v>
      </c>
      <c r="C19" s="10" t="s">
        <v>14</v>
      </c>
      <c r="D19" s="23">
        <v>7.8</v>
      </c>
      <c r="E19" t="s">
        <v>34</v>
      </c>
      <c r="G19" s="1">
        <f t="shared" si="2"/>
        <v>3703.5999999999767</v>
      </c>
      <c r="H19" s="1">
        <f t="shared" si="1"/>
        <v>1562.1000000000349</v>
      </c>
      <c r="I19" s="1">
        <f t="shared" si="1"/>
        <v>9929.8999999999942</v>
      </c>
      <c r="J19" s="1">
        <f t="shared" si="1"/>
        <v>3210.6999999999825</v>
      </c>
      <c r="K19" s="1">
        <f t="shared" si="1"/>
        <v>18833</v>
      </c>
      <c r="L19" s="1">
        <f t="shared" si="1"/>
        <v>951.79999999998836</v>
      </c>
      <c r="M19" s="1">
        <f t="shared" si="1"/>
        <v>7979.7000000000116</v>
      </c>
      <c r="N19" s="1">
        <f t="shared" si="1"/>
        <v>3973.7000000000116</v>
      </c>
      <c r="O19" s="1">
        <f t="shared" si="1"/>
        <v>2004.6999999999825</v>
      </c>
      <c r="P19" s="1">
        <f t="shared" si="1"/>
        <v>13112.399999999994</v>
      </c>
      <c r="Q19" s="1">
        <f t="shared" si="1"/>
        <v>6540.6000000000349</v>
      </c>
      <c r="R19" s="1">
        <f t="shared" si="1"/>
        <v>22601.999999999971</v>
      </c>
      <c r="S19" s="1">
        <f t="shared" si="1"/>
        <v>37358.200000000012</v>
      </c>
      <c r="T19" s="1">
        <f t="shared" si="1"/>
        <v>24219.099999999977</v>
      </c>
      <c r="U19" s="1">
        <f t="shared" si="1"/>
        <v>15389.5</v>
      </c>
      <c r="V19" s="1">
        <f t="shared" si="1"/>
        <v>524.10000000003492</v>
      </c>
      <c r="W19" s="1">
        <f t="shared" si="1"/>
        <v>1385.7000000000116</v>
      </c>
      <c r="X19" s="1">
        <f t="shared" si="1"/>
        <v>-1727.9000000000233</v>
      </c>
      <c r="Y19" s="1">
        <f t="shared" si="1"/>
        <v>-2217.2000000000116</v>
      </c>
      <c r="Z19" s="1">
        <f t="shared" si="1"/>
        <v>-5853.2000000000116</v>
      </c>
      <c r="AA19" s="1">
        <f t="shared" si="1"/>
        <v>-3002.2999999999302</v>
      </c>
      <c r="AB19" s="1">
        <f t="shared" si="1"/>
        <v>15506.399999999965</v>
      </c>
      <c r="AC19" s="1">
        <f t="shared" si="1"/>
        <v>8315.5999999999767</v>
      </c>
      <c r="AD19" s="1">
        <f t="shared" si="1"/>
        <v>21290.399999999965</v>
      </c>
      <c r="AE19" s="1">
        <f t="shared" si="1"/>
        <v>12058.800000000047</v>
      </c>
      <c r="AF19" s="1">
        <f t="shared" si="1"/>
        <v>10771.100000000035</v>
      </c>
    </row>
    <row r="20" spans="2:32" x14ac:dyDescent="0.25">
      <c r="B20" s="10">
        <v>1604</v>
      </c>
      <c r="C20" s="10" t="s">
        <v>15</v>
      </c>
      <c r="D20" s="23">
        <v>7.8</v>
      </c>
      <c r="E20" t="s">
        <v>34</v>
      </c>
      <c r="G20" s="1">
        <f t="shared" si="2"/>
        <v>3788.7000000000007</v>
      </c>
      <c r="H20" s="1">
        <f t="shared" si="1"/>
        <v>-940</v>
      </c>
      <c r="I20" s="1">
        <f t="shared" si="1"/>
        <v>320.90000000000146</v>
      </c>
      <c r="J20" s="1">
        <f t="shared" si="1"/>
        <v>836.49999999999636</v>
      </c>
      <c r="K20" s="1">
        <f t="shared" si="1"/>
        <v>3148.4000000000015</v>
      </c>
      <c r="L20" s="1">
        <f t="shared" si="1"/>
        <v>104.59999999999854</v>
      </c>
      <c r="M20" s="1">
        <f t="shared" si="1"/>
        <v>10632.8</v>
      </c>
      <c r="N20" s="1">
        <f t="shared" si="1"/>
        <v>3034.4000000000015</v>
      </c>
      <c r="O20" s="1">
        <f t="shared" si="1"/>
        <v>8915.9000000000015</v>
      </c>
      <c r="P20" s="1">
        <f t="shared" si="1"/>
        <v>-1158.4000000000015</v>
      </c>
      <c r="Q20" s="1">
        <f t="shared" si="1"/>
        <v>1748.5</v>
      </c>
      <c r="R20" s="1">
        <f t="shared" si="1"/>
        <v>1768.9000000000015</v>
      </c>
      <c r="S20" s="1">
        <f t="shared" si="1"/>
        <v>3885.7000000000044</v>
      </c>
      <c r="T20" s="1">
        <f t="shared" si="1"/>
        <v>6295.5999999999985</v>
      </c>
      <c r="U20" s="1">
        <f t="shared" si="1"/>
        <v>-62.5</v>
      </c>
      <c r="V20" s="1">
        <f t="shared" si="1"/>
        <v>626.69999999999709</v>
      </c>
      <c r="W20" s="1">
        <f t="shared" si="1"/>
        <v>0</v>
      </c>
      <c r="X20" s="1">
        <f t="shared" si="1"/>
        <v>2588.8000000000029</v>
      </c>
      <c r="Y20" s="1">
        <f t="shared" si="1"/>
        <v>466.80000000000291</v>
      </c>
      <c r="Z20" s="1">
        <f t="shared" si="1"/>
        <v>2255</v>
      </c>
      <c r="AA20" s="1">
        <f t="shared" si="1"/>
        <v>1</v>
      </c>
      <c r="AB20" s="1">
        <f t="shared" si="1"/>
        <v>5508.4999999999854</v>
      </c>
      <c r="AC20" s="1">
        <f t="shared" si="1"/>
        <v>2017.4000000000087</v>
      </c>
      <c r="AD20" s="1">
        <f t="shared" si="1"/>
        <v>6866.8000000000029</v>
      </c>
      <c r="AE20" s="1">
        <f t="shared" si="1"/>
        <v>10335.899999999994</v>
      </c>
      <c r="AF20" s="1">
        <f t="shared" si="1"/>
        <v>5919.5</v>
      </c>
    </row>
    <row r="21" spans="2:32" x14ac:dyDescent="0.25">
      <c r="B21" s="16">
        <v>1606</v>
      </c>
      <c r="C21" s="16" t="s">
        <v>16</v>
      </c>
      <c r="D21" s="24">
        <v>7.8</v>
      </c>
      <c r="E21" s="18" t="s">
        <v>34</v>
      </c>
      <c r="F21" s="18"/>
      <c r="G21" s="3">
        <f t="shared" si="2"/>
        <v>176</v>
      </c>
      <c r="H21" s="3">
        <f t="shared" si="1"/>
        <v>60.899999999999977</v>
      </c>
      <c r="I21" s="3">
        <f t="shared" si="1"/>
        <v>0</v>
      </c>
      <c r="J21" s="3">
        <f t="shared" si="1"/>
        <v>0</v>
      </c>
      <c r="K21" s="3">
        <f t="shared" si="1"/>
        <v>0</v>
      </c>
      <c r="L21" s="3">
        <f t="shared" si="1"/>
        <v>0</v>
      </c>
      <c r="M21" s="3">
        <f t="shared" si="1"/>
        <v>-170.39999999999998</v>
      </c>
      <c r="N21" s="3">
        <f t="shared" si="1"/>
        <v>0</v>
      </c>
      <c r="O21" s="3">
        <f t="shared" si="1"/>
        <v>183.7</v>
      </c>
      <c r="P21" s="3">
        <f t="shared" si="1"/>
        <v>0</v>
      </c>
      <c r="Q21" s="3">
        <f t="shared" si="1"/>
        <v>0</v>
      </c>
      <c r="R21" s="3">
        <f t="shared" si="1"/>
        <v>405.3</v>
      </c>
      <c r="S21" s="3">
        <f t="shared" si="1"/>
        <v>0</v>
      </c>
      <c r="T21" s="3">
        <f t="shared" si="1"/>
        <v>0</v>
      </c>
      <c r="U21" s="3">
        <f t="shared" si="1"/>
        <v>0</v>
      </c>
      <c r="V21" s="3">
        <f t="shared" si="1"/>
        <v>298</v>
      </c>
      <c r="W21" s="3">
        <f t="shared" si="1"/>
        <v>0</v>
      </c>
      <c r="X21" s="3">
        <f t="shared" si="1"/>
        <v>0</v>
      </c>
      <c r="Y21" s="3">
        <f t="shared" si="1"/>
        <v>0</v>
      </c>
      <c r="Z21" s="3">
        <f t="shared" si="1"/>
        <v>0</v>
      </c>
      <c r="AA21" s="3">
        <f t="shared" si="1"/>
        <v>42</v>
      </c>
      <c r="AB21" s="3">
        <f t="shared" si="1"/>
        <v>0</v>
      </c>
      <c r="AC21" s="3">
        <f t="shared" si="1"/>
        <v>19.400000000000091</v>
      </c>
      <c r="AD21" s="3">
        <f t="shared" si="1"/>
        <v>555.29999999999995</v>
      </c>
      <c r="AE21" s="3">
        <f t="shared" si="1"/>
        <v>0</v>
      </c>
      <c r="AF21" s="3">
        <f t="shared" si="1"/>
        <v>49.900000000000091</v>
      </c>
    </row>
    <row r="22" spans="2:32" x14ac:dyDescent="0.25">
      <c r="C22" s="10" t="s">
        <v>21</v>
      </c>
      <c r="D22" s="23">
        <v>7.8</v>
      </c>
      <c r="E22" t="s">
        <v>34</v>
      </c>
      <c r="G22" s="1">
        <f t="shared" si="2"/>
        <v>22061.199999999721</v>
      </c>
      <c r="H22" s="1">
        <f t="shared" si="1"/>
        <v>5649.7999999995809</v>
      </c>
      <c r="I22" s="1">
        <f t="shared" si="1"/>
        <v>31534.100000000093</v>
      </c>
      <c r="J22" s="1">
        <f t="shared" si="1"/>
        <v>69582.09999999986</v>
      </c>
      <c r="K22" s="1">
        <f t="shared" si="1"/>
        <v>44809.200000000419</v>
      </c>
      <c r="L22" s="1">
        <f t="shared" si="1"/>
        <v>43010.699999999721</v>
      </c>
      <c r="M22" s="1">
        <f t="shared" si="1"/>
        <v>50795.600000000093</v>
      </c>
      <c r="N22" s="1">
        <f t="shared" si="1"/>
        <v>19519.700000000419</v>
      </c>
      <c r="O22" s="1">
        <f t="shared" si="1"/>
        <v>81994.899999999907</v>
      </c>
      <c r="P22" s="1">
        <f t="shared" si="1"/>
        <v>6080.5999999998603</v>
      </c>
      <c r="Q22" s="1">
        <f t="shared" si="1"/>
        <v>49358.800000000279</v>
      </c>
      <c r="R22" s="1">
        <f t="shared" si="1"/>
        <v>32791.599999999627</v>
      </c>
      <c r="S22" s="1">
        <f t="shared" si="1"/>
        <v>62221.600000000093</v>
      </c>
      <c r="T22" s="1">
        <f t="shared" si="1"/>
        <v>64226.699999999953</v>
      </c>
      <c r="U22" s="1">
        <f t="shared" si="1"/>
        <v>28309.400000000373</v>
      </c>
      <c r="V22" s="1">
        <f t="shared" si="1"/>
        <v>3465.5999999996275</v>
      </c>
      <c r="W22" s="1">
        <f t="shared" si="1"/>
        <v>-6042.5999999998603</v>
      </c>
      <c r="X22" s="1">
        <f t="shared" si="1"/>
        <v>5776.5999999998603</v>
      </c>
      <c r="Y22" s="1">
        <f t="shared" si="1"/>
        <v>-6233.8999999999069</v>
      </c>
      <c r="Z22" s="1">
        <f t="shared" si="1"/>
        <v>-26584.100000000326</v>
      </c>
      <c r="AA22" s="1">
        <f t="shared" si="1"/>
        <v>14950.600000000326</v>
      </c>
      <c r="AB22" s="1">
        <f t="shared" si="1"/>
        <v>-2517.4999999997672</v>
      </c>
      <c r="AC22" s="1">
        <f t="shared" si="1"/>
        <v>26069.699999999721</v>
      </c>
      <c r="AD22" s="1">
        <f t="shared" si="1"/>
        <v>41230.199999999721</v>
      </c>
      <c r="AE22" s="1">
        <f t="shared" si="1"/>
        <v>36103.399999999907</v>
      </c>
      <c r="AF22" s="1">
        <f t="shared" si="1"/>
        <v>-10290.699999999488</v>
      </c>
    </row>
    <row r="24" spans="2:32" s="15" customFormat="1" x14ac:dyDescent="0.25">
      <c r="B24" s="13" t="s">
        <v>23</v>
      </c>
      <c r="C24" s="13"/>
      <c r="D24" s="14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2:32" x14ac:dyDescent="0.25">
      <c r="B25" s="7" t="s">
        <v>2</v>
      </c>
      <c r="C25" s="7" t="s">
        <v>18</v>
      </c>
      <c r="D25" s="7" t="s">
        <v>3</v>
      </c>
      <c r="E25" s="9" t="s">
        <v>4</v>
      </c>
      <c r="F25" s="22"/>
      <c r="G25" s="9">
        <v>1995</v>
      </c>
      <c r="H25" s="9">
        <v>1996</v>
      </c>
      <c r="I25" s="9">
        <v>1997</v>
      </c>
      <c r="J25" s="9">
        <v>1998</v>
      </c>
      <c r="K25" s="9">
        <v>1999</v>
      </c>
      <c r="L25" s="9">
        <v>2000</v>
      </c>
      <c r="M25" s="9">
        <v>2001</v>
      </c>
      <c r="N25" s="9">
        <v>2002</v>
      </c>
      <c r="O25" s="9">
        <v>2003</v>
      </c>
      <c r="P25" s="9">
        <v>2004</v>
      </c>
      <c r="Q25" s="9">
        <v>2005</v>
      </c>
      <c r="R25" s="9">
        <v>2006</v>
      </c>
      <c r="S25" s="9">
        <v>2007</v>
      </c>
      <c r="T25" s="9">
        <v>2008</v>
      </c>
      <c r="U25" s="9">
        <v>2009</v>
      </c>
      <c r="V25" s="9">
        <v>2010</v>
      </c>
      <c r="W25" s="9">
        <v>2011</v>
      </c>
      <c r="X25" s="9">
        <v>2012</v>
      </c>
      <c r="Y25" s="9">
        <v>2013</v>
      </c>
      <c r="Z25" s="9">
        <v>2014</v>
      </c>
      <c r="AA25" s="9">
        <v>2015</v>
      </c>
      <c r="AB25" s="9">
        <v>2016</v>
      </c>
      <c r="AC25" s="9">
        <v>2017</v>
      </c>
      <c r="AD25" s="9">
        <v>2018</v>
      </c>
      <c r="AE25" s="9">
        <v>2019</v>
      </c>
      <c r="AF25" s="9">
        <v>2020</v>
      </c>
    </row>
    <row r="26" spans="2:32" x14ac:dyDescent="0.25">
      <c r="B26" s="6" t="s">
        <v>5</v>
      </c>
      <c r="C26" s="10" t="s">
        <v>6</v>
      </c>
      <c r="D26" s="23">
        <v>7.8</v>
      </c>
      <c r="E26" t="s">
        <v>34</v>
      </c>
      <c r="G26" s="20">
        <f>+G15/F4</f>
        <v>1.1386665862111026E-3</v>
      </c>
      <c r="H26" s="20">
        <f t="shared" ref="H26:AF33" si="3">+H15/G4</f>
        <v>-7.8532940934338113E-3</v>
      </c>
      <c r="I26" s="20">
        <f t="shared" si="3"/>
        <v>8.8694207295329126E-3</v>
      </c>
      <c r="J26" s="20">
        <f t="shared" si="3"/>
        <v>2.809152310627859E-2</v>
      </c>
      <c r="K26" s="20">
        <f t="shared" si="3"/>
        <v>2.412494958768165E-3</v>
      </c>
      <c r="L26" s="20">
        <f t="shared" si="3"/>
        <v>2.0672776068756379E-2</v>
      </c>
      <c r="M26" s="20">
        <f t="shared" si="3"/>
        <v>1.2434862748477101E-2</v>
      </c>
      <c r="N26" s="20">
        <f t="shared" si="3"/>
        <v>7.3686641062680417E-3</v>
      </c>
      <c r="O26" s="20">
        <f t="shared" si="3"/>
        <v>5.7552223068743046E-2</v>
      </c>
      <c r="P26" s="20">
        <f t="shared" si="3"/>
        <v>-1.0073028003880179E-2</v>
      </c>
      <c r="Q26" s="20">
        <f t="shared" si="3"/>
        <v>2.1861333750055254E-2</v>
      </c>
      <c r="R26" s="20">
        <f t="shared" si="3"/>
        <v>-1.0695969528395964E-3</v>
      </c>
      <c r="S26" s="20">
        <f t="shared" si="3"/>
        <v>2.8725218919099329E-3</v>
      </c>
      <c r="T26" s="20">
        <f t="shared" si="3"/>
        <v>2.9405490046068367E-2</v>
      </c>
      <c r="U26" s="20">
        <f t="shared" si="3"/>
        <v>1.205837187582679E-2</v>
      </c>
      <c r="V26" s="20">
        <f t="shared" si="3"/>
        <v>1.3927620809778554E-3</v>
      </c>
      <c r="W26" s="20">
        <f t="shared" si="3"/>
        <v>-7.0441623558374494E-3</v>
      </c>
      <c r="X26" s="20">
        <f t="shared" si="3"/>
        <v>3.078760889547501E-3</v>
      </c>
      <c r="Y26" s="20">
        <f t="shared" si="3"/>
        <v>-5.7930292531978801E-3</v>
      </c>
      <c r="Z26" s="20">
        <f t="shared" si="3"/>
        <v>-1.8631745643126783E-2</v>
      </c>
      <c r="AA26" s="20">
        <f t="shared" si="3"/>
        <v>1.5975429468593497E-2</v>
      </c>
      <c r="AB26" s="20">
        <f t="shared" si="3"/>
        <v>-3.2428942922664832E-3</v>
      </c>
      <c r="AC26" s="20">
        <f t="shared" si="3"/>
        <v>5.6429954047506059E-3</v>
      </c>
      <c r="AD26" s="20">
        <f t="shared" si="3"/>
        <v>1.8237430685038702E-2</v>
      </c>
      <c r="AE26" s="20">
        <f t="shared" si="3"/>
        <v>8.4322697605419585E-3</v>
      </c>
      <c r="AF26" s="20">
        <f t="shared" si="3"/>
        <v>-2.3965677908019414E-2</v>
      </c>
    </row>
    <row r="27" spans="2:32" x14ac:dyDescent="0.25">
      <c r="B27" s="10">
        <v>1000</v>
      </c>
      <c r="C27" s="10" t="s">
        <v>11</v>
      </c>
      <c r="D27" s="23">
        <v>7.8</v>
      </c>
      <c r="E27" t="s">
        <v>34</v>
      </c>
      <c r="G27" s="20">
        <f t="shared" ref="G27:V33" si="4">+G16/F5</f>
        <v>5.8606745250158514E-2</v>
      </c>
      <c r="H27" s="20">
        <f t="shared" si="4"/>
        <v>3.5941639587971815E-2</v>
      </c>
      <c r="I27" s="20">
        <f t="shared" si="4"/>
        <v>3.4285974463117694E-2</v>
      </c>
      <c r="J27" s="20">
        <f t="shared" si="4"/>
        <v>0.13307234995886899</v>
      </c>
      <c r="K27" s="20">
        <f t="shared" si="4"/>
        <v>8.1096009421756488E-2</v>
      </c>
      <c r="L27" s="20">
        <f t="shared" si="4"/>
        <v>4.4511989192840232E-2</v>
      </c>
      <c r="M27" s="20">
        <f t="shared" si="4"/>
        <v>1.0532319896003362E-2</v>
      </c>
      <c r="N27" s="20">
        <f t="shared" si="4"/>
        <v>-2.1831230884341718E-3</v>
      </c>
      <c r="O27" s="20">
        <f t="shared" si="4"/>
        <v>2.7784515328041045E-2</v>
      </c>
      <c r="P27" s="20">
        <f t="shared" si="4"/>
        <v>1.3808896204283575E-2</v>
      </c>
      <c r="Q27" s="20">
        <f t="shared" si="4"/>
        <v>6.128436370867249E-2</v>
      </c>
      <c r="R27" s="20">
        <f t="shared" si="4"/>
        <v>9.4192812542288132E-3</v>
      </c>
      <c r="S27" s="20">
        <f t="shared" si="4"/>
        <v>6.5467388762340054E-2</v>
      </c>
      <c r="T27" s="20">
        <f t="shared" si="4"/>
        <v>4.6816372595276023E-3</v>
      </c>
      <c r="U27" s="20">
        <f t="shared" si="4"/>
        <v>-2.5356531061404499E-3</v>
      </c>
      <c r="V27" s="20">
        <f t="shared" si="4"/>
        <v>1.4345440554031504E-3</v>
      </c>
      <c r="W27" s="20">
        <f t="shared" si="3"/>
        <v>1.3835798656581205E-3</v>
      </c>
      <c r="X27" s="20">
        <f t="shared" si="3"/>
        <v>-7.5566967226228527E-4</v>
      </c>
      <c r="Y27" s="20">
        <f t="shared" si="3"/>
        <v>3.3099748791633192E-3</v>
      </c>
      <c r="Z27" s="20">
        <f t="shared" si="3"/>
        <v>1.639921311223443E-3</v>
      </c>
      <c r="AA27" s="20">
        <f t="shared" si="3"/>
        <v>-3.6348017539665702E-3</v>
      </c>
      <c r="AB27" s="20">
        <f t="shared" si="3"/>
        <v>-6.143367588628447E-2</v>
      </c>
      <c r="AC27" s="20">
        <f t="shared" si="3"/>
        <v>2.7967555906359666E-2</v>
      </c>
      <c r="AD27" s="20">
        <f t="shared" si="3"/>
        <v>-1.8919380188007186E-2</v>
      </c>
      <c r="AE27" s="20">
        <f t="shared" si="3"/>
        <v>1.2415498272376757E-2</v>
      </c>
      <c r="AF27" s="20">
        <f t="shared" si="3"/>
        <v>5.012770475807924E-3</v>
      </c>
    </row>
    <row r="28" spans="2:32" x14ac:dyDescent="0.25">
      <c r="B28" s="10">
        <v>1100</v>
      </c>
      <c r="C28" s="10" t="s">
        <v>17</v>
      </c>
      <c r="D28" s="23">
        <v>7.8</v>
      </c>
      <c r="E28" t="s">
        <v>34</v>
      </c>
      <c r="G28" s="20">
        <f t="shared" si="4"/>
        <v>0.29534972710611646</v>
      </c>
      <c r="H28" s="20">
        <f t="shared" si="3"/>
        <v>6.4663080319661628E-2</v>
      </c>
      <c r="I28" s="20">
        <f t="shared" si="3"/>
        <v>-5.0768871299852587E-2</v>
      </c>
      <c r="J28" s="20">
        <f t="shared" si="3"/>
        <v>4.9922692902363416E-3</v>
      </c>
      <c r="K28" s="20">
        <f t="shared" si="3"/>
        <v>-2.9544584768465645E-3</v>
      </c>
      <c r="L28" s="20">
        <f t="shared" si="3"/>
        <v>2.1694405207885552E-2</v>
      </c>
      <c r="M28" s="20">
        <f t="shared" si="3"/>
        <v>8.7910436546689526E-4</v>
      </c>
      <c r="N28" s="20">
        <f t="shared" si="3"/>
        <v>0</v>
      </c>
      <c r="O28" s="20">
        <f t="shared" si="3"/>
        <v>1.4819041041386824E-2</v>
      </c>
      <c r="P28" s="20">
        <f t="shared" si="3"/>
        <v>0</v>
      </c>
      <c r="Q28" s="20">
        <f t="shared" si="3"/>
        <v>0</v>
      </c>
      <c r="R28" s="20">
        <f t="shared" si="3"/>
        <v>3.6602777017480215E-2</v>
      </c>
      <c r="S28" s="20">
        <f t="shared" si="3"/>
        <v>-3.4967779688712801E-4</v>
      </c>
      <c r="T28" s="20">
        <f t="shared" si="3"/>
        <v>-0.19657338663620791</v>
      </c>
      <c r="U28" s="20">
        <f t="shared" si="3"/>
        <v>0</v>
      </c>
      <c r="V28" s="20">
        <f t="shared" si="3"/>
        <v>0</v>
      </c>
      <c r="W28" s="20">
        <f t="shared" si="3"/>
        <v>0</v>
      </c>
      <c r="X28" s="20">
        <f t="shared" si="3"/>
        <v>0</v>
      </c>
      <c r="Y28" s="20">
        <f t="shared" si="3"/>
        <v>0</v>
      </c>
      <c r="Z28" s="20">
        <f t="shared" si="3"/>
        <v>0</v>
      </c>
      <c r="AA28" s="20">
        <f t="shared" si="3"/>
        <v>0</v>
      </c>
      <c r="AB28" s="20">
        <f t="shared" si="3"/>
        <v>-0.1709820159226613</v>
      </c>
      <c r="AC28" s="20">
        <f t="shared" si="3"/>
        <v>-2.7116536800248656E-2</v>
      </c>
      <c r="AD28" s="20">
        <f t="shared" si="3"/>
        <v>-0.16714589461391863</v>
      </c>
      <c r="AE28" s="20">
        <f t="shared" si="3"/>
        <v>0</v>
      </c>
      <c r="AF28" s="20">
        <f t="shared" si="3"/>
        <v>0</v>
      </c>
    </row>
    <row r="29" spans="2:32" x14ac:dyDescent="0.25">
      <c r="B29" s="10">
        <v>1300</v>
      </c>
      <c r="C29" s="10" t="s">
        <v>13</v>
      </c>
      <c r="D29" s="23">
        <v>7.8</v>
      </c>
      <c r="E29" t="s">
        <v>34</v>
      </c>
      <c r="G29" s="20">
        <f t="shared" si="4"/>
        <v>1.2673638789906761E-2</v>
      </c>
      <c r="H29" s="20">
        <f t="shared" si="3"/>
        <v>0.11134306020135264</v>
      </c>
      <c r="I29" s="20">
        <f t="shared" si="3"/>
        <v>0.13196602330240695</v>
      </c>
      <c r="J29" s="20">
        <f t="shared" si="3"/>
        <v>0.21197700555357801</v>
      </c>
      <c r="K29" s="20">
        <f t="shared" si="3"/>
        <v>4.1945597717056561E-2</v>
      </c>
      <c r="L29" s="20">
        <f t="shared" si="3"/>
        <v>0.13717545943733672</v>
      </c>
      <c r="M29" s="20">
        <f t="shared" si="3"/>
        <v>0.19321816366858832</v>
      </c>
      <c r="N29" s="20">
        <f t="shared" si="3"/>
        <v>5.1286793823693229E-2</v>
      </c>
      <c r="O29" s="20">
        <f t="shared" si="3"/>
        <v>3.4731557854050764E-2</v>
      </c>
      <c r="P29" s="20">
        <f t="shared" si="3"/>
        <v>1.5659373956383199E-2</v>
      </c>
      <c r="Q29" s="20">
        <f t="shared" si="3"/>
        <v>1.4103563493507991E-2</v>
      </c>
      <c r="R29" s="20">
        <f t="shared" si="3"/>
        <v>5.2330601740543832E-2</v>
      </c>
      <c r="S29" s="20">
        <f t="shared" si="3"/>
        <v>1.4480453399108731E-5</v>
      </c>
      <c r="T29" s="20">
        <f t="shared" si="3"/>
        <v>1.7778521454492213E-2</v>
      </c>
      <c r="U29" s="20">
        <f t="shared" si="3"/>
        <v>-1.3373665103507354E-3</v>
      </c>
      <c r="V29" s="20">
        <f t="shared" si="3"/>
        <v>-1.7887091297776397E-4</v>
      </c>
      <c r="W29" s="20">
        <f t="shared" si="3"/>
        <v>3.1078444177937616E-3</v>
      </c>
      <c r="X29" s="20">
        <f t="shared" si="3"/>
        <v>1.2365242218751656E-2</v>
      </c>
      <c r="Y29" s="20">
        <f t="shared" si="3"/>
        <v>1.0056514791285075E-2</v>
      </c>
      <c r="Z29" s="20">
        <f t="shared" si="3"/>
        <v>-1.4874771464579295E-2</v>
      </c>
      <c r="AA29" s="20">
        <f t="shared" si="3"/>
        <v>6.6519020710910249E-3</v>
      </c>
      <c r="AB29" s="20">
        <f t="shared" si="3"/>
        <v>0</v>
      </c>
      <c r="AC29" s="20">
        <f t="shared" si="3"/>
        <v>1.4413588509597171E-2</v>
      </c>
      <c r="AD29" s="20">
        <f t="shared" si="3"/>
        <v>-1.322374028472823E-2</v>
      </c>
      <c r="AE29" s="20">
        <f t="shared" si="3"/>
        <v>2.8859041618593951E-3</v>
      </c>
      <c r="AF29" s="20">
        <f t="shared" si="3"/>
        <v>0</v>
      </c>
    </row>
    <row r="30" spans="2:32" x14ac:dyDescent="0.25">
      <c r="B30" s="10">
        <v>1400</v>
      </c>
      <c r="C30" s="10" t="s">
        <v>14</v>
      </c>
      <c r="D30" s="23">
        <v>7.8</v>
      </c>
      <c r="E30" t="s">
        <v>34</v>
      </c>
      <c r="G30" s="20">
        <f t="shared" si="4"/>
        <v>2.1145533408583803E-2</v>
      </c>
      <c r="H30" s="20">
        <f t="shared" si="3"/>
        <v>8.7340517311271584E-3</v>
      </c>
      <c r="I30" s="20">
        <f t="shared" si="3"/>
        <v>5.5039581229373767E-2</v>
      </c>
      <c r="J30" s="20">
        <f t="shared" si="3"/>
        <v>1.6867907895033996E-2</v>
      </c>
      <c r="K30" s="20">
        <f t="shared" si="3"/>
        <v>9.7300810521486467E-2</v>
      </c>
      <c r="L30" s="20">
        <f t="shared" si="3"/>
        <v>4.4814334560335893E-3</v>
      </c>
      <c r="M30" s="20">
        <f t="shared" si="3"/>
        <v>3.740381514508357E-2</v>
      </c>
      <c r="N30" s="20">
        <f t="shared" si="3"/>
        <v>1.7954634692292488E-2</v>
      </c>
      <c r="O30" s="20">
        <f t="shared" si="3"/>
        <v>8.8982061550178862E-3</v>
      </c>
      <c r="P30" s="20">
        <f t="shared" si="3"/>
        <v>5.7688322738545489E-2</v>
      </c>
      <c r="Q30" s="20">
        <f t="shared" si="3"/>
        <v>2.7206056993540756E-2</v>
      </c>
      <c r="R30" s="20">
        <f t="shared" si="3"/>
        <v>9.1524488935627812E-2</v>
      </c>
      <c r="S30" s="20">
        <f t="shared" si="3"/>
        <v>0.13859351227943525</v>
      </c>
      <c r="T30" s="20">
        <f t="shared" si="3"/>
        <v>7.8912582006806467E-2</v>
      </c>
      <c r="U30" s="20">
        <f t="shared" si="3"/>
        <v>4.647576054813584E-2</v>
      </c>
      <c r="V30" s="20">
        <f t="shared" si="3"/>
        <v>1.512470741151166E-3</v>
      </c>
      <c r="W30" s="20">
        <f t="shared" si="3"/>
        <v>3.9928746622899152E-3</v>
      </c>
      <c r="X30" s="20">
        <f t="shared" si="3"/>
        <v>-4.95911791473102E-3</v>
      </c>
      <c r="Y30" s="20">
        <f t="shared" si="3"/>
        <v>-6.3951358663517314E-3</v>
      </c>
      <c r="Z30" s="20">
        <f t="shared" si="3"/>
        <v>-1.6991219906422338E-2</v>
      </c>
      <c r="AA30" s="20">
        <f t="shared" si="3"/>
        <v>-8.866003249558458E-3</v>
      </c>
      <c r="AB30" s="20">
        <f t="shared" si="3"/>
        <v>4.6201109977912956E-2</v>
      </c>
      <c r="AC30" s="20">
        <f t="shared" si="3"/>
        <v>2.3682079840015746E-2</v>
      </c>
      <c r="AD30" s="20">
        <f t="shared" si="3"/>
        <v>5.9230441593733446E-2</v>
      </c>
      <c r="AE30" s="20">
        <f t="shared" si="3"/>
        <v>3.1671948914313727E-2</v>
      </c>
      <c r="AF30" s="20">
        <f t="shared" si="3"/>
        <v>2.7421368917221217E-2</v>
      </c>
    </row>
    <row r="31" spans="2:32" x14ac:dyDescent="0.25">
      <c r="B31" s="10">
        <v>1604</v>
      </c>
      <c r="C31" s="10" t="s">
        <v>15</v>
      </c>
      <c r="D31" s="23">
        <v>7.8</v>
      </c>
      <c r="E31" t="s">
        <v>34</v>
      </c>
      <c r="G31" s="20">
        <f t="shared" si="4"/>
        <v>0.16279519439001758</v>
      </c>
      <c r="H31" s="20">
        <f t="shared" si="3"/>
        <v>-3.4735694621510264E-2</v>
      </c>
      <c r="I31" s="20">
        <f t="shared" si="3"/>
        <v>1.228489941236152E-2</v>
      </c>
      <c r="J31" s="20">
        <f t="shared" si="3"/>
        <v>3.1634798656702733E-2</v>
      </c>
      <c r="K31" s="20">
        <f t="shared" si="3"/>
        <v>0.11541521102390498</v>
      </c>
      <c r="L31" s="20">
        <f t="shared" si="3"/>
        <v>3.4377023265290889E-3</v>
      </c>
      <c r="M31" s="20">
        <f t="shared" si="3"/>
        <v>0.34825215594181824</v>
      </c>
      <c r="N31" s="20">
        <f t="shared" si="3"/>
        <v>7.3713642999949022E-2</v>
      </c>
      <c r="O31" s="20">
        <f t="shared" si="3"/>
        <v>0.20172130201746194</v>
      </c>
      <c r="P31" s="20">
        <f t="shared" si="3"/>
        <v>-2.1809281747152433E-2</v>
      </c>
      <c r="Q31" s="20">
        <f t="shared" si="3"/>
        <v>3.3653087384470884E-2</v>
      </c>
      <c r="R31" s="20">
        <f t="shared" si="3"/>
        <v>3.2937281561713903E-2</v>
      </c>
      <c r="S31" s="20">
        <f t="shared" si="3"/>
        <v>7.0045426686375672E-2</v>
      </c>
      <c r="T31" s="20">
        <f t="shared" si="3"/>
        <v>0.1060584874923559</v>
      </c>
      <c r="U31" s="20">
        <f t="shared" si="3"/>
        <v>-9.5194142742474706E-4</v>
      </c>
      <c r="V31" s="20">
        <f t="shared" si="3"/>
        <v>9.5544023124488828E-3</v>
      </c>
      <c r="W31" s="20">
        <f t="shared" si="3"/>
        <v>0</v>
      </c>
      <c r="X31" s="20">
        <f t="shared" si="3"/>
        <v>3.9094224510906952E-2</v>
      </c>
      <c r="Y31" s="20">
        <f t="shared" si="3"/>
        <v>6.7840652944485312E-3</v>
      </c>
      <c r="Z31" s="20">
        <f t="shared" si="3"/>
        <v>3.2551378489529423E-2</v>
      </c>
      <c r="AA31" s="20">
        <f t="shared" si="3"/>
        <v>1.3980128645143791E-5</v>
      </c>
      <c r="AB31" s="20">
        <f t="shared" si="3"/>
        <v>7.7008462053568094E-2</v>
      </c>
      <c r="AC31" s="20">
        <f t="shared" si="3"/>
        <v>2.6186532640356506E-2</v>
      </c>
      <c r="AD31" s="20">
        <f t="shared" si="3"/>
        <v>8.6858848678801406E-2</v>
      </c>
      <c r="AE31" s="20">
        <f t="shared" si="3"/>
        <v>0.12029146755613687</v>
      </c>
      <c r="AF31" s="20">
        <f t="shared" si="3"/>
        <v>6.1495101272910677E-2</v>
      </c>
    </row>
    <row r="32" spans="2:32" x14ac:dyDescent="0.25">
      <c r="B32" s="16">
        <v>1606</v>
      </c>
      <c r="C32" s="16" t="s">
        <v>16</v>
      </c>
      <c r="D32" s="24">
        <v>7.8</v>
      </c>
      <c r="E32" s="18" t="s">
        <v>34</v>
      </c>
      <c r="F32" s="18"/>
      <c r="G32" s="21">
        <f t="shared" si="4"/>
        <v>2.5142857142857142</v>
      </c>
      <c r="H32" s="21">
        <f t="shared" si="3"/>
        <v>0.24756097560975601</v>
      </c>
      <c r="I32" s="21">
        <f t="shared" si="3"/>
        <v>0</v>
      </c>
      <c r="J32" s="21">
        <f t="shared" si="3"/>
        <v>0</v>
      </c>
      <c r="K32" s="21">
        <f t="shared" si="3"/>
        <v>0</v>
      </c>
      <c r="L32" s="21">
        <f t="shared" si="3"/>
        <v>0</v>
      </c>
      <c r="M32" s="21">
        <f t="shared" si="3"/>
        <v>-0.55522971652003905</v>
      </c>
      <c r="N32" s="21">
        <f t="shared" si="3"/>
        <v>0</v>
      </c>
      <c r="O32" s="21">
        <f t="shared" si="3"/>
        <v>1.3457875457875457</v>
      </c>
      <c r="P32" s="21">
        <f t="shared" si="3"/>
        <v>0</v>
      </c>
      <c r="Q32" s="21">
        <f t="shared" si="3"/>
        <v>0</v>
      </c>
      <c r="R32" s="21">
        <f t="shared" si="3"/>
        <v>1.2657713928794505</v>
      </c>
      <c r="S32" s="21">
        <f t="shared" si="3"/>
        <v>0</v>
      </c>
      <c r="T32" s="21">
        <f t="shared" si="3"/>
        <v>0</v>
      </c>
      <c r="U32" s="21">
        <f t="shared" si="3"/>
        <v>0</v>
      </c>
      <c r="V32" s="21">
        <f t="shared" si="3"/>
        <v>0.41075120606478288</v>
      </c>
      <c r="W32" s="21">
        <f t="shared" si="3"/>
        <v>0</v>
      </c>
      <c r="X32" s="21">
        <f t="shared" si="3"/>
        <v>0</v>
      </c>
      <c r="Y32" s="21">
        <f t="shared" si="3"/>
        <v>0</v>
      </c>
      <c r="Z32" s="21">
        <f t="shared" si="3"/>
        <v>0</v>
      </c>
      <c r="AA32" s="21">
        <f t="shared" si="3"/>
        <v>4.1035661944308743E-2</v>
      </c>
      <c r="AB32" s="21">
        <f t="shared" si="3"/>
        <v>0</v>
      </c>
      <c r="AC32" s="21">
        <f t="shared" si="3"/>
        <v>1.8207414359455741E-2</v>
      </c>
      <c r="AD32" s="21">
        <f t="shared" si="3"/>
        <v>0.51184440962300659</v>
      </c>
      <c r="AE32" s="21">
        <f t="shared" si="3"/>
        <v>0</v>
      </c>
      <c r="AF32" s="21">
        <f t="shared" si="3"/>
        <v>3.042311913181325E-2</v>
      </c>
    </row>
    <row r="33" spans="2:32" x14ac:dyDescent="0.25">
      <c r="C33" s="10" t="s">
        <v>21</v>
      </c>
      <c r="D33" s="23">
        <v>7.8</v>
      </c>
      <c r="E33" t="s">
        <v>34</v>
      </c>
      <c r="G33" s="20">
        <f t="shared" si="4"/>
        <v>1.5824904304347655E-2</v>
      </c>
      <c r="H33" s="20">
        <f t="shared" si="4"/>
        <v>3.9895708220844617E-3</v>
      </c>
      <c r="I33" s="20">
        <f t="shared" si="4"/>
        <v>2.2179121687341E-2</v>
      </c>
      <c r="J33" s="20">
        <f t="shared" si="4"/>
        <v>4.7877826739791712E-2</v>
      </c>
      <c r="K33" s="20">
        <f t="shared" si="4"/>
        <v>2.9423439349565848E-2</v>
      </c>
      <c r="L33" s="20">
        <f t="shared" si="4"/>
        <v>2.7435236259083489E-2</v>
      </c>
      <c r="M33" s="20">
        <f t="shared" si="4"/>
        <v>3.1535798528889047E-2</v>
      </c>
      <c r="N33" s="20">
        <f t="shared" si="4"/>
        <v>1.1748071258443859E-2</v>
      </c>
      <c r="O33" s="20">
        <f t="shared" si="4"/>
        <v>4.8776191692838346E-2</v>
      </c>
      <c r="P33" s="20">
        <f t="shared" si="4"/>
        <v>3.448932252411439E-3</v>
      </c>
      <c r="Q33" s="20">
        <f t="shared" si="4"/>
        <v>2.7900214739653057E-2</v>
      </c>
      <c r="R33" s="20">
        <f t="shared" si="4"/>
        <v>1.8032444498359904E-2</v>
      </c>
      <c r="S33" s="20">
        <f t="shared" si="4"/>
        <v>3.3610235225624153E-2</v>
      </c>
      <c r="T33" s="20">
        <f t="shared" si="4"/>
        <v>3.3565195760000936E-2</v>
      </c>
      <c r="U33" s="20">
        <f t="shared" si="4"/>
        <v>1.4314176386245809E-2</v>
      </c>
      <c r="V33" s="20">
        <f t="shared" si="4"/>
        <v>1.7275938096746684E-3</v>
      </c>
      <c r="W33" s="20">
        <f t="shared" si="3"/>
        <v>-3.0070275945764126E-3</v>
      </c>
      <c r="X33" s="20">
        <f t="shared" si="3"/>
        <v>2.8833261182795917E-3</v>
      </c>
      <c r="Y33" s="20">
        <f t="shared" si="3"/>
        <v>-3.1026364521235493E-3</v>
      </c>
      <c r="Z33" s="20">
        <f t="shared" si="3"/>
        <v>-1.3272189495638888E-2</v>
      </c>
      <c r="AA33" s="20">
        <f t="shared" si="3"/>
        <v>7.5645285309664584E-3</v>
      </c>
      <c r="AB33" s="20">
        <f t="shared" si="3"/>
        <v>-1.2642118376125129E-3</v>
      </c>
      <c r="AC33" s="20">
        <f t="shared" si="3"/>
        <v>1.3107980735320284E-2</v>
      </c>
      <c r="AD33" s="20">
        <f t="shared" si="3"/>
        <v>2.0462536443908191E-2</v>
      </c>
      <c r="AE33" s="20">
        <f t="shared" si="3"/>
        <v>1.7558809298016724E-2</v>
      </c>
      <c r="AF33" s="20">
        <f t="shared" si="3"/>
        <v>-4.9184964036954795E-3</v>
      </c>
    </row>
    <row r="35" spans="2:32" x14ac:dyDescent="0.25">
      <c r="B35" s="13" t="s">
        <v>31</v>
      </c>
      <c r="C35" s="13"/>
      <c r="D35" s="14"/>
      <c r="E35" s="2"/>
      <c r="F35" s="2"/>
      <c r="G35" s="2"/>
      <c r="H35" s="2"/>
      <c r="I35" s="2"/>
      <c r="J35" s="2"/>
    </row>
    <row r="36" spans="2:32" x14ac:dyDescent="0.25">
      <c r="B36" s="7" t="s">
        <v>2</v>
      </c>
      <c r="C36" s="7" t="s">
        <v>18</v>
      </c>
      <c r="D36" s="7" t="s">
        <v>3</v>
      </c>
      <c r="E36" s="9" t="s">
        <v>4</v>
      </c>
      <c r="F36" s="22" t="s">
        <v>24</v>
      </c>
      <c r="G36" s="22" t="s">
        <v>25</v>
      </c>
      <c r="H36" s="22" t="s">
        <v>26</v>
      </c>
      <c r="I36" s="22" t="s">
        <v>28</v>
      </c>
      <c r="J36" s="22" t="s">
        <v>27</v>
      </c>
    </row>
    <row r="37" spans="2:32" x14ac:dyDescent="0.25">
      <c r="B37" s="6" t="s">
        <v>5</v>
      </c>
      <c r="C37" s="10" t="s">
        <v>6</v>
      </c>
      <c r="D37" s="23">
        <v>7.8</v>
      </c>
      <c r="E37" t="s">
        <v>34</v>
      </c>
      <c r="F37" s="1">
        <f>+AVERAGE(G15:AF15)</f>
        <v>7179.1115384615441</v>
      </c>
      <c r="G37" s="1">
        <f>+AVERAGE(Q15:AF15)</f>
        <v>4051.0875000000087</v>
      </c>
      <c r="H37" s="1">
        <f>+AVERAGE(X15:AF15)</f>
        <v>-141.93333333332299</v>
      </c>
      <c r="I37" s="1">
        <f>+AVERAGE(N15:P15)</f>
        <v>18866.766666666605</v>
      </c>
      <c r="J37" s="1">
        <f t="shared" ref="J37:J44" si="5">+AVERAGE(U15:Y15)</f>
        <v>824.56000000000927</v>
      </c>
    </row>
    <row r="38" spans="2:32" x14ac:dyDescent="0.25">
      <c r="B38" s="10">
        <v>1000</v>
      </c>
      <c r="C38" s="10" t="s">
        <v>11</v>
      </c>
      <c r="D38" s="23">
        <v>7.8</v>
      </c>
      <c r="E38" t="s">
        <v>34</v>
      </c>
      <c r="F38" s="1">
        <f t="shared" ref="F38:F44" si="6">+AVERAGE(G16:AF16)</f>
        <v>4382.2615384615392</v>
      </c>
      <c r="G38" s="1">
        <f t="shared" ref="G38:G44" si="7">+AVERAGE(Q16:AF16)</f>
        <v>1669.2250000000004</v>
      </c>
      <c r="H38" s="1">
        <f t="shared" ref="H38:H44" si="8">+AVERAGE(X16:AF16)</f>
        <v>-1174.455555555553</v>
      </c>
      <c r="I38" s="1">
        <f t="shared" ref="I38:I44" si="9">+AVERAGE(N16:P16)</f>
        <v>3226.2000000000021</v>
      </c>
      <c r="J38" s="1">
        <f t="shared" si="5"/>
        <v>164.50000000001165</v>
      </c>
    </row>
    <row r="39" spans="2:32" x14ac:dyDescent="0.25">
      <c r="B39" s="10">
        <v>1100</v>
      </c>
      <c r="C39" s="10" t="s">
        <v>17</v>
      </c>
      <c r="D39" s="23">
        <v>7.8</v>
      </c>
      <c r="E39" t="s">
        <v>34</v>
      </c>
      <c r="F39" s="1">
        <f t="shared" si="6"/>
        <v>-91.180769230769258</v>
      </c>
      <c r="G39" s="1">
        <f t="shared" si="7"/>
        <v>-372.38750000000005</v>
      </c>
      <c r="H39" s="1">
        <f t="shared" si="8"/>
        <v>-410.5</v>
      </c>
      <c r="I39" s="1">
        <f t="shared" si="9"/>
        <v>65.80000000000048</v>
      </c>
      <c r="J39" s="1">
        <f t="shared" si="5"/>
        <v>0</v>
      </c>
    </row>
    <row r="40" spans="2:32" x14ac:dyDescent="0.25">
      <c r="B40" s="10">
        <v>1300</v>
      </c>
      <c r="C40" s="10" t="s">
        <v>13</v>
      </c>
      <c r="D40" s="23">
        <v>7.8</v>
      </c>
      <c r="E40" t="s">
        <v>34</v>
      </c>
      <c r="F40" s="1">
        <f t="shared" si="6"/>
        <v>3103.8192307692307</v>
      </c>
      <c r="G40" s="1">
        <f t="shared" si="7"/>
        <v>782.19999999999982</v>
      </c>
      <c r="H40" s="1">
        <f t="shared" si="8"/>
        <v>253.14444444444314</v>
      </c>
      <c r="I40" s="1">
        <f t="shared" si="9"/>
        <v>3684.1666666666665</v>
      </c>
      <c r="J40" s="1">
        <f t="shared" si="5"/>
        <v>611.56000000000063</v>
      </c>
    </row>
    <row r="41" spans="2:32" x14ac:dyDescent="0.25">
      <c r="B41" s="10">
        <v>1400</v>
      </c>
      <c r="C41" s="10" t="s">
        <v>14</v>
      </c>
      <c r="D41" s="23">
        <v>7.8</v>
      </c>
      <c r="E41" t="s">
        <v>34</v>
      </c>
      <c r="F41" s="1">
        <f t="shared" si="6"/>
        <v>8785.4807692307695</v>
      </c>
      <c r="G41" s="1">
        <f t="shared" si="7"/>
        <v>10197.556250000003</v>
      </c>
      <c r="H41" s="1">
        <f t="shared" si="8"/>
        <v>6126.8555555555567</v>
      </c>
      <c r="I41" s="1">
        <f t="shared" si="9"/>
        <v>6363.5999999999958</v>
      </c>
      <c r="J41" s="1">
        <f t="shared" si="5"/>
        <v>2670.8400000000024</v>
      </c>
    </row>
    <row r="42" spans="2:32" x14ac:dyDescent="0.25">
      <c r="B42" s="10">
        <v>1604</v>
      </c>
      <c r="C42" s="10" t="s">
        <v>15</v>
      </c>
      <c r="D42" s="23">
        <v>7.8</v>
      </c>
      <c r="E42" t="s">
        <v>34</v>
      </c>
      <c r="F42" s="1">
        <f t="shared" si="6"/>
        <v>3034.8615384615382</v>
      </c>
      <c r="G42" s="1">
        <f t="shared" si="7"/>
        <v>3138.9124999999999</v>
      </c>
      <c r="H42" s="1">
        <f t="shared" si="8"/>
        <v>3995.5222222222219</v>
      </c>
      <c r="I42" s="1">
        <f t="shared" si="9"/>
        <v>3597.3000000000006</v>
      </c>
      <c r="J42" s="1">
        <f t="shared" si="5"/>
        <v>723.9600000000006</v>
      </c>
    </row>
    <row r="43" spans="2:32" x14ac:dyDescent="0.25">
      <c r="B43" s="16">
        <v>1606</v>
      </c>
      <c r="C43" s="16" t="s">
        <v>16</v>
      </c>
      <c r="D43" s="24">
        <v>7.8</v>
      </c>
      <c r="E43" s="18" t="s">
        <v>34</v>
      </c>
      <c r="F43" s="3">
        <f t="shared" si="6"/>
        <v>62.311538461538468</v>
      </c>
      <c r="G43" s="3">
        <f t="shared" si="7"/>
        <v>85.618750000000006</v>
      </c>
      <c r="H43" s="3">
        <f t="shared" si="8"/>
        <v>74.066666666666677</v>
      </c>
      <c r="I43" s="3">
        <f t="shared" si="9"/>
        <v>61.233333333333327</v>
      </c>
      <c r="J43" s="3">
        <f t="shared" si="5"/>
        <v>59.6</v>
      </c>
    </row>
    <row r="44" spans="2:32" x14ac:dyDescent="0.25">
      <c r="C44" s="10" t="s">
        <v>21</v>
      </c>
      <c r="D44" s="23">
        <v>7.8</v>
      </c>
      <c r="E44" t="s">
        <v>34</v>
      </c>
      <c r="F44" s="1">
        <f t="shared" si="6"/>
        <v>26456.665384615379</v>
      </c>
      <c r="G44" s="1">
        <f t="shared" si="7"/>
        <v>19552.212500000009</v>
      </c>
      <c r="H44" s="1">
        <f t="shared" si="8"/>
        <v>8722.7000000000044</v>
      </c>
      <c r="I44" s="1">
        <f t="shared" si="9"/>
        <v>35865.066666666731</v>
      </c>
      <c r="J44" s="1">
        <f t="shared" si="5"/>
        <v>5055.0200000000186</v>
      </c>
    </row>
    <row r="45" spans="2:32" x14ac:dyDescent="0.25">
      <c r="C45" s="10" t="s">
        <v>33</v>
      </c>
      <c r="D45" s="12"/>
      <c r="F45" s="19">
        <f>+F37/F44</f>
        <v>0.271353605380526</v>
      </c>
      <c r="G45" s="19">
        <f>+G37/G44</f>
        <v>0.20719330357114352</v>
      </c>
      <c r="H45" s="19">
        <f>+H37/H44</f>
        <v>-1.6271720147812366E-2</v>
      </c>
      <c r="I45" s="19">
        <f>+I37/I44</f>
        <v>0.52604855978705101</v>
      </c>
      <c r="J45" s="19">
        <f>+J37/J44</f>
        <v>0.16311705987315703</v>
      </c>
    </row>
    <row r="47" spans="2:32" x14ac:dyDescent="0.25">
      <c r="B47" s="13" t="s">
        <v>29</v>
      </c>
      <c r="C47" s="13"/>
      <c r="D47" s="14"/>
      <c r="E47" s="2"/>
      <c r="F47" s="2"/>
      <c r="G47" s="2"/>
      <c r="H47" s="2"/>
      <c r="I47" s="2"/>
      <c r="J47" s="2"/>
    </row>
    <row r="48" spans="2:32" x14ac:dyDescent="0.25">
      <c r="B48" s="7" t="s">
        <v>2</v>
      </c>
      <c r="C48" s="7" t="s">
        <v>18</v>
      </c>
      <c r="D48" s="7" t="s">
        <v>3</v>
      </c>
      <c r="E48" s="9" t="s">
        <v>4</v>
      </c>
      <c r="F48" s="22" t="s">
        <v>24</v>
      </c>
      <c r="G48" s="22" t="s">
        <v>25</v>
      </c>
      <c r="H48" s="22" t="s">
        <v>26</v>
      </c>
      <c r="I48" s="22" t="s">
        <v>28</v>
      </c>
      <c r="J48" s="22" t="s">
        <v>27</v>
      </c>
    </row>
    <row r="49" spans="2:11" x14ac:dyDescent="0.25">
      <c r="B49" s="6" t="s">
        <v>5</v>
      </c>
      <c r="C49" s="10" t="s">
        <v>6</v>
      </c>
      <c r="D49" s="23">
        <v>7.8</v>
      </c>
      <c r="E49" t="s">
        <v>34</v>
      </c>
      <c r="F49" s="20">
        <f t="shared" ref="F49:F56" si="10">+AVERAGE(G26:AF26)</f>
        <v>6.9163295662978538E-3</v>
      </c>
      <c r="G49" s="20">
        <f>+AVERAGE(Q26:AF26)</f>
        <v>3.7006412155014285E-3</v>
      </c>
      <c r="H49" s="20">
        <f>+AVERAGE(X26:AF26)</f>
        <v>-2.9606765348699463E-5</v>
      </c>
      <c r="I49" s="20">
        <f>+AVERAGE(N26:P26)</f>
        <v>1.8282619723710303E-2</v>
      </c>
      <c r="J49" s="20">
        <f t="shared" ref="J49:J56" si="11">+AVERAGE(U26:Y26)</f>
        <v>7.3854064746336329E-4</v>
      </c>
    </row>
    <row r="50" spans="2:11" x14ac:dyDescent="0.25">
      <c r="B50" s="10">
        <v>1000</v>
      </c>
      <c r="C50" s="10" t="s">
        <v>11</v>
      </c>
      <c r="D50" s="23">
        <v>7.8</v>
      </c>
      <c r="E50" t="s">
        <v>34</v>
      </c>
      <c r="F50" s="20">
        <f t="shared" si="10"/>
        <v>2.0930563513796459E-2</v>
      </c>
      <c r="G50" s="20">
        <f t="shared" ref="G50:G56" si="12">+AVERAGE(Q27:AF27)</f>
        <v>6.6710834465062759E-3</v>
      </c>
      <c r="H50" s="20">
        <f t="shared" ref="H50:H56" si="13">+AVERAGE(X27:AF27)</f>
        <v>-3.8219785172877115E-3</v>
      </c>
      <c r="I50" s="20">
        <f t="shared" ref="I50:I56" si="14">+AVERAGE(N27:P27)</f>
        <v>1.313676281463015E-2</v>
      </c>
      <c r="J50" s="20">
        <f t="shared" si="11"/>
        <v>5.6735520436437098E-4</v>
      </c>
    </row>
    <row r="51" spans="2:11" x14ac:dyDescent="0.25">
      <c r="B51" s="10">
        <v>1100</v>
      </c>
      <c r="C51" s="10" t="s">
        <v>17</v>
      </c>
      <c r="D51" s="23">
        <v>7.8</v>
      </c>
      <c r="E51" t="s">
        <v>34</v>
      </c>
      <c r="F51" s="20">
        <f t="shared" si="10"/>
        <v>-6.8034783537841851E-3</v>
      </c>
      <c r="G51" s="20">
        <f t="shared" si="12"/>
        <v>-3.2847795922027717E-2</v>
      </c>
      <c r="H51" s="20">
        <f t="shared" si="13"/>
        <v>-4.0582716370758734E-2</v>
      </c>
      <c r="I51" s="20">
        <f t="shared" si="14"/>
        <v>4.9396803471289412E-3</v>
      </c>
      <c r="J51" s="20">
        <f t="shared" si="11"/>
        <v>0</v>
      </c>
    </row>
    <row r="52" spans="2:11" x14ac:dyDescent="0.25">
      <c r="B52" s="10">
        <v>1300</v>
      </c>
      <c r="C52" s="10" t="s">
        <v>13</v>
      </c>
      <c r="D52" s="23">
        <v>7.8</v>
      </c>
      <c r="E52" t="s">
        <v>34</v>
      </c>
      <c r="F52" s="20">
        <f t="shared" si="10"/>
        <v>4.0233464940155325E-2</v>
      </c>
      <c r="G52" s="20">
        <f t="shared" si="12"/>
        <v>6.5058383837303252E-3</v>
      </c>
      <c r="H52" s="20">
        <f t="shared" si="13"/>
        <v>2.0305155559196437E-3</v>
      </c>
      <c r="I52" s="20">
        <f t="shared" si="14"/>
        <v>3.3892575211375731E-2</v>
      </c>
      <c r="J52" s="20">
        <f t="shared" si="11"/>
        <v>4.8026728009003981E-3</v>
      </c>
    </row>
    <row r="53" spans="2:11" x14ac:dyDescent="0.25">
      <c r="B53" s="10">
        <v>1400</v>
      </c>
      <c r="C53" s="10" t="s">
        <v>14</v>
      </c>
      <c r="D53" s="23">
        <v>7.8</v>
      </c>
      <c r="E53" t="s">
        <v>34</v>
      </c>
      <c r="F53" s="20">
        <f t="shared" si="10"/>
        <v>3.3258750594065342E-2</v>
      </c>
      <c r="G53" s="20">
        <f t="shared" si="12"/>
        <v>3.3700826154570047E-2</v>
      </c>
      <c r="H53" s="20">
        <f t="shared" si="13"/>
        <v>1.6777274700681504E-2</v>
      </c>
      <c r="I53" s="20">
        <f t="shared" si="14"/>
        <v>2.8180387861951955E-2</v>
      </c>
      <c r="J53" s="20">
        <f t="shared" si="11"/>
        <v>8.1253704340988348E-3</v>
      </c>
    </row>
    <row r="54" spans="2:11" x14ac:dyDescent="0.25">
      <c r="B54" s="10">
        <v>1604</v>
      </c>
      <c r="C54" s="10" t="s">
        <v>15</v>
      </c>
      <c r="D54" s="23">
        <v>7.8</v>
      </c>
      <c r="E54" t="s">
        <v>34</v>
      </c>
      <c r="F54" s="20">
        <f t="shared" si="10"/>
        <v>6.1318874424435628E-2</v>
      </c>
      <c r="G54" s="20">
        <f t="shared" si="12"/>
        <v>4.3848800289702755E-2</v>
      </c>
      <c r="H54" s="20">
        <f t="shared" si="13"/>
        <v>5.0031562291700395E-2</v>
      </c>
      <c r="I54" s="20">
        <f t="shared" si="14"/>
        <v>8.4541887756752851E-2</v>
      </c>
      <c r="J54" s="20">
        <f t="shared" si="11"/>
        <v>1.0896150138075924E-2</v>
      </c>
    </row>
    <row r="55" spans="2:11" x14ac:dyDescent="0.25">
      <c r="B55" s="16">
        <v>1606</v>
      </c>
      <c r="C55" s="16" t="s">
        <v>16</v>
      </c>
      <c r="D55" s="24">
        <v>7.8</v>
      </c>
      <c r="E55" s="18" t="s">
        <v>34</v>
      </c>
      <c r="F55" s="21">
        <f t="shared" si="10"/>
        <v>0.22424760473714594</v>
      </c>
      <c r="G55" s="21">
        <f t="shared" si="12"/>
        <v>0.14237707525017609</v>
      </c>
      <c r="H55" s="21">
        <f t="shared" si="13"/>
        <v>6.6834511673176042E-2</v>
      </c>
      <c r="I55" s="21">
        <f t="shared" si="14"/>
        <v>0.44859584859584856</v>
      </c>
      <c r="J55" s="21">
        <f t="shared" si="11"/>
        <v>8.2150241212956582E-2</v>
      </c>
    </row>
    <row r="56" spans="2:11" x14ac:dyDescent="0.25">
      <c r="C56" s="10" t="s">
        <v>21</v>
      </c>
      <c r="D56" s="23">
        <v>7.8</v>
      </c>
      <c r="E56" t="s">
        <v>34</v>
      </c>
      <c r="F56" s="20">
        <f t="shared" si="10"/>
        <v>1.5669291256046144E-2</v>
      </c>
      <c r="G56" s="20">
        <f t="shared" si="12"/>
        <v>1.0322654985150182E-2</v>
      </c>
      <c r="H56" s="20">
        <f t="shared" si="13"/>
        <v>4.3355163263800907E-3</v>
      </c>
      <c r="I56" s="20">
        <f t="shared" si="14"/>
        <v>2.1324398401231213E-2</v>
      </c>
      <c r="J56" s="20">
        <f t="shared" si="11"/>
        <v>2.5630864535000214E-3</v>
      </c>
    </row>
    <row r="58" spans="2:11" x14ac:dyDescent="0.25">
      <c r="B58" s="13" t="s">
        <v>35</v>
      </c>
      <c r="C58" s="13"/>
      <c r="D58" s="14"/>
      <c r="E58" s="2"/>
      <c r="F58" s="2"/>
      <c r="G58" s="2"/>
      <c r="H58" s="2"/>
      <c r="I58" s="2"/>
      <c r="J58" s="2"/>
      <c r="K58" s="2"/>
    </row>
    <row r="59" spans="2:11" x14ac:dyDescent="0.25">
      <c r="B59" s="7" t="s">
        <v>2</v>
      </c>
      <c r="C59" s="7" t="s">
        <v>18</v>
      </c>
      <c r="D59" s="7" t="s">
        <v>3</v>
      </c>
      <c r="E59" s="9" t="s">
        <v>4</v>
      </c>
      <c r="F59" s="22">
        <v>1995</v>
      </c>
      <c r="G59" s="22">
        <v>2000</v>
      </c>
      <c r="H59" s="22">
        <v>2005</v>
      </c>
      <c r="I59" s="22">
        <v>2010</v>
      </c>
      <c r="J59" s="22">
        <v>2015</v>
      </c>
      <c r="K59" s="22">
        <v>2020</v>
      </c>
    </row>
    <row r="60" spans="2:11" x14ac:dyDescent="0.25">
      <c r="B60" s="6" t="s">
        <v>5</v>
      </c>
      <c r="C60" s="10" t="s">
        <v>6</v>
      </c>
      <c r="D60" s="12" t="s">
        <v>19</v>
      </c>
      <c r="E60" t="s">
        <v>20</v>
      </c>
      <c r="F60" s="1">
        <f>+G4</f>
        <v>972241.7</v>
      </c>
      <c r="G60" s="1">
        <f>+L4</f>
        <v>1023646.2</v>
      </c>
      <c r="H60" s="1">
        <f>+Q4</f>
        <v>1116869.3</v>
      </c>
      <c r="I60" s="1">
        <f>+V4</f>
        <v>1167292.8</v>
      </c>
      <c r="J60" s="1">
        <f>+AA4</f>
        <v>1152489</v>
      </c>
      <c r="K60" s="1">
        <f>+AF4</f>
        <v>1157792.8</v>
      </c>
    </row>
    <row r="61" spans="2:11" x14ac:dyDescent="0.25">
      <c r="B61" s="10">
        <v>1000</v>
      </c>
      <c r="C61" s="10" t="s">
        <v>11</v>
      </c>
      <c r="D61" s="12" t="s">
        <v>19</v>
      </c>
      <c r="E61" t="s">
        <v>20</v>
      </c>
      <c r="F61" s="1">
        <f t="shared" ref="F61:F66" si="15">+G5</f>
        <v>175968.6</v>
      </c>
      <c r="G61" s="1">
        <f t="shared" ref="G61:G66" si="16">+L5</f>
        <v>241238.39999999999</v>
      </c>
      <c r="H61" s="1">
        <f t="shared" ref="H61:H66" si="17">+Q5</f>
        <v>268990.8</v>
      </c>
      <c r="I61" s="1">
        <f t="shared" ref="I61:I66" si="18">+V5</f>
        <v>290333.8</v>
      </c>
      <c r="J61" s="1">
        <f t="shared" ref="J61:J66" si="19">+AA5</f>
        <v>290894.2</v>
      </c>
      <c r="K61" s="1">
        <f t="shared" ref="K61:K66" si="20">+AF5</f>
        <v>280165.40000000002</v>
      </c>
    </row>
    <row r="62" spans="2:11" x14ac:dyDescent="0.25">
      <c r="B62" s="10">
        <v>1100</v>
      </c>
      <c r="C62" s="10" t="s">
        <v>17</v>
      </c>
      <c r="D62" s="12" t="s">
        <v>19</v>
      </c>
      <c r="E62" t="s">
        <v>20</v>
      </c>
      <c r="F62" s="1">
        <f t="shared" si="15"/>
        <v>12863.6</v>
      </c>
      <c r="G62" s="1">
        <f t="shared" si="16"/>
        <v>13309</v>
      </c>
      <c r="H62" s="1">
        <f t="shared" si="17"/>
        <v>13518.1</v>
      </c>
      <c r="I62" s="1">
        <f t="shared" si="18"/>
        <v>11254.4</v>
      </c>
      <c r="J62" s="1">
        <f t="shared" si="19"/>
        <v>11254.4</v>
      </c>
      <c r="K62" s="1">
        <f t="shared" si="20"/>
        <v>7559.9</v>
      </c>
    </row>
    <row r="63" spans="2:11" x14ac:dyDescent="0.25">
      <c r="B63" s="10">
        <v>1300</v>
      </c>
      <c r="C63" s="10" t="s">
        <v>13</v>
      </c>
      <c r="D63" s="12" t="s">
        <v>19</v>
      </c>
      <c r="E63" t="s">
        <v>20</v>
      </c>
      <c r="F63" s="1">
        <f t="shared" si="15"/>
        <v>48909.200000000004</v>
      </c>
      <c r="G63" s="1">
        <f t="shared" si="16"/>
        <v>88356.6</v>
      </c>
      <c r="H63" s="1">
        <f t="shared" si="17"/>
        <v>118124</v>
      </c>
      <c r="I63" s="1">
        <f t="shared" si="18"/>
        <v>126325.5</v>
      </c>
      <c r="J63" s="1">
        <f t="shared" si="19"/>
        <v>128496.8</v>
      </c>
      <c r="K63" s="1">
        <f t="shared" si="20"/>
        <v>128996.4</v>
      </c>
    </row>
    <row r="64" spans="2:11" x14ac:dyDescent="0.25">
      <c r="B64" s="10">
        <v>1400</v>
      </c>
      <c r="C64" s="10" t="s">
        <v>14</v>
      </c>
      <c r="D64" s="12" t="s">
        <v>19</v>
      </c>
      <c r="E64" t="s">
        <v>20</v>
      </c>
      <c r="F64" s="1">
        <f t="shared" si="15"/>
        <v>178851.69999999998</v>
      </c>
      <c r="G64" s="1">
        <f t="shared" si="16"/>
        <v>213339.19999999998</v>
      </c>
      <c r="H64" s="1">
        <f t="shared" si="17"/>
        <v>246950.30000000002</v>
      </c>
      <c r="I64" s="1">
        <f t="shared" si="18"/>
        <v>347043.2</v>
      </c>
      <c r="J64" s="1">
        <f t="shared" si="19"/>
        <v>335628.30000000005</v>
      </c>
      <c r="K64" s="1">
        <f t="shared" si="20"/>
        <v>403570.60000000003</v>
      </c>
    </row>
    <row r="65" spans="2:11" x14ac:dyDescent="0.25">
      <c r="B65" s="10">
        <v>1604</v>
      </c>
      <c r="C65" s="10" t="s">
        <v>15</v>
      </c>
      <c r="D65" s="12" t="s">
        <v>19</v>
      </c>
      <c r="E65" t="s">
        <v>20</v>
      </c>
      <c r="F65" s="1">
        <f t="shared" si="15"/>
        <v>27061.5</v>
      </c>
      <c r="G65" s="1">
        <f t="shared" si="16"/>
        <v>30531.899999999998</v>
      </c>
      <c r="H65" s="1">
        <f t="shared" si="17"/>
        <v>53705.1</v>
      </c>
      <c r="I65" s="1">
        <f t="shared" si="18"/>
        <v>66219.5</v>
      </c>
      <c r="J65" s="1">
        <f t="shared" si="19"/>
        <v>71531.100000000006</v>
      </c>
      <c r="K65" s="1">
        <f t="shared" si="20"/>
        <v>102179.2</v>
      </c>
    </row>
    <row r="66" spans="2:11" x14ac:dyDescent="0.25">
      <c r="B66" s="16">
        <v>1606</v>
      </c>
      <c r="C66" s="16" t="s">
        <v>16</v>
      </c>
      <c r="D66" s="17" t="s">
        <v>19</v>
      </c>
      <c r="E66" s="18" t="s">
        <v>20</v>
      </c>
      <c r="F66" s="3">
        <f t="shared" si="15"/>
        <v>246</v>
      </c>
      <c r="G66" s="3">
        <f t="shared" si="16"/>
        <v>306.89999999999998</v>
      </c>
      <c r="H66" s="3">
        <f t="shared" si="17"/>
        <v>320.2</v>
      </c>
      <c r="I66" s="3">
        <f t="shared" si="18"/>
        <v>1023.5</v>
      </c>
      <c r="J66" s="3">
        <f t="shared" si="19"/>
        <v>1065.5</v>
      </c>
      <c r="K66" s="3">
        <f t="shared" si="20"/>
        <v>1690.1000000000001</v>
      </c>
    </row>
    <row r="67" spans="2:11" x14ac:dyDescent="0.25">
      <c r="C67" s="10" t="s">
        <v>21</v>
      </c>
      <c r="D67" s="12" t="s">
        <v>19</v>
      </c>
      <c r="E67" t="s">
        <v>20</v>
      </c>
      <c r="F67" s="1">
        <f>+SUM(F60:F66)</f>
        <v>1416142.3</v>
      </c>
      <c r="G67" s="1">
        <f t="shared" ref="G67:K67" si="21">+SUM(G60:G66)</f>
        <v>1610728.1999999997</v>
      </c>
      <c r="H67" s="1">
        <f t="shared" si="21"/>
        <v>1818477.8000000003</v>
      </c>
      <c r="I67" s="1">
        <f t="shared" si="21"/>
        <v>2009492.7</v>
      </c>
      <c r="J67" s="1">
        <f t="shared" si="21"/>
        <v>1991359.3</v>
      </c>
      <c r="K67" s="1">
        <f t="shared" si="21"/>
        <v>2081954.4000000001</v>
      </c>
    </row>
    <row r="68" spans="2:11" x14ac:dyDescent="0.25">
      <c r="B68" s="27"/>
      <c r="C68" s="27" t="s">
        <v>37</v>
      </c>
      <c r="D68" s="28"/>
      <c r="E68" s="29"/>
      <c r="F68" s="29"/>
      <c r="G68" s="30">
        <f>+(G67-F67)/F67</f>
        <v>0.13740561241620963</v>
      </c>
      <c r="H68" s="30">
        <f t="shared" ref="H68:K68" si="22">+(H67-G67)/G67</f>
        <v>0.12897868181608826</v>
      </c>
      <c r="I68" s="30">
        <f t="shared" si="22"/>
        <v>0.10504109536008614</v>
      </c>
      <c r="J68" s="30">
        <f t="shared" si="22"/>
        <v>-9.0238695567293713E-3</v>
      </c>
      <c r="K68" s="30">
        <f t="shared" si="22"/>
        <v>4.5494100436822268E-2</v>
      </c>
    </row>
    <row r="70" spans="2:11" x14ac:dyDescent="0.25">
      <c r="B70" s="13" t="s">
        <v>36</v>
      </c>
      <c r="C70" s="13"/>
      <c r="D70" s="14"/>
      <c r="E70" s="2"/>
      <c r="F70" s="2"/>
      <c r="G70" s="2"/>
      <c r="H70" s="2"/>
      <c r="I70" s="2"/>
      <c r="J70" s="2"/>
      <c r="K70" s="2"/>
    </row>
    <row r="71" spans="2:11" x14ac:dyDescent="0.25">
      <c r="B71" s="7" t="s">
        <v>2</v>
      </c>
      <c r="C71" s="7" t="s">
        <v>18</v>
      </c>
      <c r="D71" s="7" t="s">
        <v>3</v>
      </c>
      <c r="E71" s="9" t="s">
        <v>4</v>
      </c>
      <c r="F71" s="22">
        <v>1995</v>
      </c>
      <c r="G71" s="22">
        <v>2000</v>
      </c>
      <c r="H71" s="22">
        <v>2005</v>
      </c>
      <c r="I71" s="22">
        <v>2010</v>
      </c>
      <c r="J71" s="22">
        <v>2015</v>
      </c>
      <c r="K71" s="22">
        <v>2020</v>
      </c>
    </row>
    <row r="72" spans="2:11" x14ac:dyDescent="0.25">
      <c r="B72" s="6" t="s">
        <v>5</v>
      </c>
      <c r="C72" s="10" t="s">
        <v>6</v>
      </c>
      <c r="D72" s="12" t="s">
        <v>19</v>
      </c>
      <c r="E72" t="s">
        <v>20</v>
      </c>
      <c r="F72" s="19">
        <f>+F60/F$67</f>
        <v>0.68654237642643678</v>
      </c>
      <c r="G72" s="19">
        <f t="shared" ref="G72:K72" si="23">+G60/G$67</f>
        <v>0.63551764971892843</v>
      </c>
      <c r="H72" s="19">
        <f t="shared" si="23"/>
        <v>0.6141781329417384</v>
      </c>
      <c r="I72" s="19">
        <f t="shared" si="23"/>
        <v>0.58088929608950557</v>
      </c>
      <c r="J72" s="19">
        <f t="shared" si="23"/>
        <v>0.57874488044422723</v>
      </c>
      <c r="K72" s="19">
        <f t="shared" si="23"/>
        <v>0.55610862562599828</v>
      </c>
    </row>
    <row r="73" spans="2:11" x14ac:dyDescent="0.25">
      <c r="B73" s="10">
        <v>1000</v>
      </c>
      <c r="C73" s="10" t="s">
        <v>11</v>
      </c>
      <c r="D73" s="12" t="s">
        <v>19</v>
      </c>
      <c r="E73" t="s">
        <v>20</v>
      </c>
      <c r="F73" s="19">
        <f t="shared" ref="F73:K78" si="24">+F61/F$67</f>
        <v>0.12425912282967609</v>
      </c>
      <c r="G73" s="19">
        <f t="shared" si="24"/>
        <v>0.14976977493782007</v>
      </c>
      <c r="H73" s="19">
        <f t="shared" si="24"/>
        <v>0.14792085996320656</v>
      </c>
      <c r="I73" s="19">
        <f t="shared" si="24"/>
        <v>0.1444811419319911</v>
      </c>
      <c r="J73" s="19">
        <f t="shared" si="24"/>
        <v>0.14607820899021087</v>
      </c>
      <c r="K73" s="19">
        <f t="shared" si="24"/>
        <v>0.13456846124967964</v>
      </c>
    </row>
    <row r="74" spans="2:11" x14ac:dyDescent="0.25">
      <c r="B74" s="10">
        <v>1100</v>
      </c>
      <c r="C74" s="10" t="s">
        <v>17</v>
      </c>
      <c r="D74" s="12" t="s">
        <v>19</v>
      </c>
      <c r="E74" t="s">
        <v>20</v>
      </c>
      <c r="F74" s="19">
        <f t="shared" si="24"/>
        <v>9.0835504313373019E-3</v>
      </c>
      <c r="G74" s="19">
        <f t="shared" si="24"/>
        <v>8.2627224133780004E-3</v>
      </c>
      <c r="H74" s="19">
        <f t="shared" si="24"/>
        <v>7.43374486067413E-3</v>
      </c>
      <c r="I74" s="19">
        <f t="shared" si="24"/>
        <v>5.6006175090857506E-3</v>
      </c>
      <c r="J74" s="19">
        <f t="shared" si="24"/>
        <v>5.6516169633475987E-3</v>
      </c>
      <c r="K74" s="19">
        <f t="shared" si="24"/>
        <v>3.6311554181974394E-3</v>
      </c>
    </row>
    <row r="75" spans="2:11" x14ac:dyDescent="0.25">
      <c r="B75" s="10">
        <v>1300</v>
      </c>
      <c r="C75" s="10" t="s">
        <v>13</v>
      </c>
      <c r="D75" s="12" t="s">
        <v>19</v>
      </c>
      <c r="E75" t="s">
        <v>20</v>
      </c>
      <c r="F75" s="19">
        <f t="shared" si="24"/>
        <v>3.4536924714416058E-2</v>
      </c>
      <c r="G75" s="19">
        <f t="shared" si="24"/>
        <v>5.4855064932742857E-2</v>
      </c>
      <c r="H75" s="19">
        <f t="shared" si="24"/>
        <v>6.4957625548137013E-2</v>
      </c>
      <c r="I75" s="19">
        <f t="shared" si="24"/>
        <v>6.2864373679984015E-2</v>
      </c>
      <c r="J75" s="19">
        <f t="shared" si="24"/>
        <v>6.4527180002122167E-2</v>
      </c>
      <c r="K75" s="19">
        <f t="shared" si="24"/>
        <v>6.1959282105314116E-2</v>
      </c>
    </row>
    <row r="76" spans="2:11" x14ac:dyDescent="0.25">
      <c r="B76" s="10">
        <v>1400</v>
      </c>
      <c r="C76" s="10" t="s">
        <v>14</v>
      </c>
      <c r="D76" s="12" t="s">
        <v>19</v>
      </c>
      <c r="E76" t="s">
        <v>20</v>
      </c>
      <c r="F76" s="19">
        <f t="shared" si="24"/>
        <v>0.12629500580556063</v>
      </c>
      <c r="G76" s="19">
        <f t="shared" si="24"/>
        <v>0.13244891347900908</v>
      </c>
      <c r="H76" s="19">
        <f t="shared" si="24"/>
        <v>0.13580055802715874</v>
      </c>
      <c r="I76" s="19">
        <f t="shared" si="24"/>
        <v>0.17270189635423908</v>
      </c>
      <c r="J76" s="19">
        <f t="shared" si="24"/>
        <v>0.16854231177668441</v>
      </c>
      <c r="K76" s="19">
        <f t="shared" si="24"/>
        <v>0.19384218981933515</v>
      </c>
    </row>
    <row r="77" spans="2:11" x14ac:dyDescent="0.25">
      <c r="B77" s="10">
        <v>1604</v>
      </c>
      <c r="C77" s="10" t="s">
        <v>15</v>
      </c>
      <c r="D77" s="12" t="s">
        <v>19</v>
      </c>
      <c r="E77" t="s">
        <v>20</v>
      </c>
      <c r="F77" s="19">
        <f t="shared" si="24"/>
        <v>1.9109308436023695E-2</v>
      </c>
      <c r="G77" s="19">
        <f t="shared" si="24"/>
        <v>1.8955339578707323E-2</v>
      </c>
      <c r="H77" s="19">
        <f t="shared" si="24"/>
        <v>2.9532997323365725E-2</v>
      </c>
      <c r="I77" s="19">
        <f t="shared" si="24"/>
        <v>3.2953341905646139E-2</v>
      </c>
      <c r="J77" s="19">
        <f t="shared" si="24"/>
        <v>3.5920740169792569E-2</v>
      </c>
      <c r="K77" s="19">
        <f t="shared" si="24"/>
        <v>4.9078500470519426E-2</v>
      </c>
    </row>
    <row r="78" spans="2:11" x14ac:dyDescent="0.25">
      <c r="B78" s="16">
        <v>1606</v>
      </c>
      <c r="C78" s="16" t="s">
        <v>16</v>
      </c>
      <c r="D78" s="17" t="s">
        <v>19</v>
      </c>
      <c r="E78" s="18" t="s">
        <v>20</v>
      </c>
      <c r="F78" s="25">
        <f t="shared" si="24"/>
        <v>1.737113565494089E-4</v>
      </c>
      <c r="G78" s="25">
        <f t="shared" si="24"/>
        <v>1.9053493941435931E-4</v>
      </c>
      <c r="H78" s="25">
        <f t="shared" si="24"/>
        <v>1.7608133571935821E-4</v>
      </c>
      <c r="I78" s="25">
        <f t="shared" si="24"/>
        <v>5.0933252954837806E-4</v>
      </c>
      <c r="J78" s="25">
        <f t="shared" si="24"/>
        <v>5.3506165361519645E-4</v>
      </c>
      <c r="K78" s="25">
        <f t="shared" si="24"/>
        <v>8.1178531095589795E-4</v>
      </c>
    </row>
  </sheetData>
  <conditionalFormatting sqref="M26:AF32">
    <cfRule type="colorScale" priority="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26:AF32">
    <cfRule type="colorScale" priority="7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33:AF33">
    <cfRule type="colorScale" priority="6">
      <colorScale>
        <cfvo type="min"/>
        <cfvo type="max"/>
        <color rgb="FFFCFCFF"/>
        <color rgb="FF63BE7B"/>
      </colorScale>
    </cfRule>
  </conditionalFormatting>
  <conditionalFormatting sqref="G26:AF33">
    <cfRule type="colorScale" priority="5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15:AF21">
    <cfRule type="colorScale" priority="4">
      <colorScale>
        <cfvo type="min"/>
        <cfvo type="max"/>
        <color rgb="FFFCFCFF"/>
        <color rgb="FF63BE7B"/>
      </colorScale>
    </cfRule>
  </conditionalFormatting>
  <conditionalFormatting sqref="F37:J45">
    <cfRule type="colorScale" priority="3">
      <colorScale>
        <cfvo type="min"/>
        <cfvo type="max"/>
        <color rgb="FFFCFCFF"/>
        <color rgb="FF63BE7B"/>
      </colorScale>
    </cfRule>
  </conditionalFormatting>
  <conditionalFormatting sqref="F49:J56">
    <cfRule type="colorScale" priority="2">
      <colorScale>
        <cfvo type="min"/>
        <cfvo type="max"/>
        <color rgb="FFFCFCFF"/>
        <color rgb="FF63BE7B"/>
      </colorScale>
    </cfRule>
  </conditionalFormatting>
  <conditionalFormatting sqref="G15:AF2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CA1C7-DE19-488C-AE10-32AFB4261C8F}">
  <dimension ref="B2:AG78"/>
  <sheetViews>
    <sheetView showGridLines="0" workbookViewId="0">
      <pane xSplit="5" ySplit="1" topLeftCell="F50" activePane="bottomRight" state="frozen"/>
      <selection pane="topRight" activeCell="E1" sqref="E1"/>
      <selection pane="bottomLeft" activeCell="A5" sqref="A5"/>
      <selection pane="bottomRight" activeCell="M70" sqref="M70"/>
    </sheetView>
  </sheetViews>
  <sheetFormatPr defaultRowHeight="15" x14ac:dyDescent="0.25"/>
  <cols>
    <col min="1" max="1" width="4.7109375" customWidth="1"/>
    <col min="2" max="2" width="9.140625" style="10"/>
    <col min="3" max="3" width="15.140625" style="10" bestFit="1" customWidth="1"/>
    <col min="4" max="4" width="9.140625" style="23"/>
    <col min="5" max="5" width="16.5703125" bestFit="1" customWidth="1"/>
    <col min="8" max="16" width="8.85546875" bestFit="1" customWidth="1"/>
  </cols>
  <sheetData>
    <row r="2" spans="2:33" s="15" customFormat="1" x14ac:dyDescent="0.25">
      <c r="B2" s="13" t="s">
        <v>32</v>
      </c>
      <c r="C2" s="13"/>
      <c r="D2" s="3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</row>
    <row r="3" spans="2:33" x14ac:dyDescent="0.25">
      <c r="B3" s="7" t="s">
        <v>2</v>
      </c>
      <c r="C3" s="7" t="s">
        <v>18</v>
      </c>
      <c r="D3" s="7" t="s">
        <v>3</v>
      </c>
      <c r="E3" s="9" t="s">
        <v>4</v>
      </c>
      <c r="F3" s="9">
        <v>1994</v>
      </c>
      <c r="G3" s="9">
        <v>1995</v>
      </c>
      <c r="H3" s="9">
        <v>1996</v>
      </c>
      <c r="I3" s="9">
        <v>1997</v>
      </c>
      <c r="J3" s="9">
        <v>1998</v>
      </c>
      <c r="K3" s="9">
        <v>1999</v>
      </c>
      <c r="L3" s="9">
        <v>2000</v>
      </c>
      <c r="M3" s="9">
        <v>2001</v>
      </c>
      <c r="N3" s="9">
        <v>2002</v>
      </c>
      <c r="O3" s="9">
        <v>2003</v>
      </c>
      <c r="P3" s="9">
        <v>2004</v>
      </c>
      <c r="Q3" s="9">
        <v>2005</v>
      </c>
      <c r="R3" s="9">
        <v>2006</v>
      </c>
      <c r="S3" s="9">
        <v>2007</v>
      </c>
      <c r="T3" s="9">
        <v>2008</v>
      </c>
      <c r="U3" s="9">
        <v>2009</v>
      </c>
      <c r="V3" s="9">
        <v>2010</v>
      </c>
      <c r="W3" s="9">
        <v>2011</v>
      </c>
      <c r="X3" s="9">
        <v>2012</v>
      </c>
      <c r="Y3" s="9">
        <v>2013</v>
      </c>
      <c r="Z3" s="9">
        <v>2014</v>
      </c>
      <c r="AA3" s="9">
        <v>2015</v>
      </c>
      <c r="AB3" s="9">
        <v>2016</v>
      </c>
      <c r="AC3" s="9">
        <v>2017</v>
      </c>
      <c r="AD3" s="9">
        <v>2018</v>
      </c>
      <c r="AE3" s="9">
        <v>2019</v>
      </c>
      <c r="AF3" s="9">
        <v>2020</v>
      </c>
    </row>
    <row r="4" spans="2:33" x14ac:dyDescent="0.25">
      <c r="B4" s="6" t="s">
        <v>5</v>
      </c>
      <c r="C4" s="10" t="s">
        <v>6</v>
      </c>
      <c r="D4" s="23" t="s">
        <v>38</v>
      </c>
      <c r="E4" t="s">
        <v>10</v>
      </c>
      <c r="F4" s="1">
        <f>SUMIFS(grunnur!F$5:F$31,grunnur!$C$5:$C$31,"Reykjavík",grunnur!$D$5:$D$31,"9")</f>
        <v>1270012</v>
      </c>
      <c r="G4" s="1">
        <f>SUMIFS(grunnur!G$5:G$31,grunnur!$C$5:$C$31,"Reykjavík",grunnur!$D$5:$D$31,"9")</f>
        <v>1264993.3999999999</v>
      </c>
      <c r="H4" s="1">
        <f>SUMIFS(grunnur!H$5:H$31,grunnur!$C$5:$C$31,"Reykjavík",grunnur!$D$5:$D$31,"9")</f>
        <v>1299562.2</v>
      </c>
      <c r="I4" s="1">
        <f>SUMIFS(grunnur!I$5:I$31,grunnur!$C$5:$C$31,"Reykjavík",grunnur!$D$5:$D$31,"9")</f>
        <v>1331382.3</v>
      </c>
      <c r="J4" s="1">
        <f>SUMIFS(grunnur!J$5:J$31,grunnur!$C$5:$C$31,"Reykjavík",grunnur!$D$5:$D$31,"9")</f>
        <v>1377439.6</v>
      </c>
      <c r="K4" s="1">
        <f>SUMIFS(grunnur!K$5:K$31,grunnur!$C$5:$C$31,"Reykjavík",grunnur!$D$5:$D$31,"9")</f>
        <v>1418929.8</v>
      </c>
      <c r="L4" s="1">
        <f>SUMIFS(grunnur!L$5:L$31,grunnur!$C$5:$C$31,"Reykjavík",grunnur!$D$5:$D$31,"9")</f>
        <v>1509263.9</v>
      </c>
      <c r="M4" s="1">
        <f>SUMIFS(grunnur!M$5:M$31,grunnur!$C$5:$C$31,"Reykjavík",grunnur!$D$5:$D$31,"9")</f>
        <v>1473309.9</v>
      </c>
      <c r="N4" s="1">
        <f>SUMIFS(grunnur!N$5:N$31,grunnur!$C$5:$C$31,"Reykjavík",grunnur!$D$5:$D$31,"9")</f>
        <v>1545444.7</v>
      </c>
      <c r="O4" s="1">
        <f>SUMIFS(grunnur!O$5:O$31,grunnur!$C$5:$C$31,"Reykjavík",grunnur!$D$5:$D$31,"9")</f>
        <v>1597341.1</v>
      </c>
      <c r="P4" s="1">
        <f>SUMIFS(grunnur!P$5:P$31,grunnur!$C$5:$C$31,"Reykjavík",grunnur!$D$5:$D$31,"9")</f>
        <v>1622695.1</v>
      </c>
      <c r="Q4" s="1">
        <f>SUMIFS(grunnur!Q$5:Q$31,grunnur!$C$5:$C$31,"Reykjavík",grunnur!$D$5:$D$31,"9")</f>
        <v>1597732.7</v>
      </c>
      <c r="R4" s="1">
        <f>SUMIFS(grunnur!R$5:R$31,grunnur!$C$5:$C$31,"Reykjavík",grunnur!$D$5:$D$31,"9")</f>
        <v>1644904.3</v>
      </c>
      <c r="S4" s="1">
        <f>SUMIFS(grunnur!S$5:S$31,grunnur!$C$5:$C$31,"Reykjavík",grunnur!$D$5:$D$31,"9")</f>
        <v>1669048.3</v>
      </c>
      <c r="T4" s="1">
        <f>SUMIFS(grunnur!T$5:T$31,grunnur!$C$5:$C$31,"Reykjavík",grunnur!$D$5:$D$31,"9")</f>
        <v>1745473.5</v>
      </c>
      <c r="U4" s="1">
        <f>SUMIFS(grunnur!U$5:U$31,grunnur!$C$5:$C$31,"Reykjavík",grunnur!$D$5:$D$31,"9")</f>
        <v>1764630.2</v>
      </c>
      <c r="V4" s="1">
        <f>SUMIFS(grunnur!V$5:V$31,grunnur!$C$5:$C$31,"Reykjavík",grunnur!$D$5:$D$31,"9")</f>
        <v>1835957.1</v>
      </c>
      <c r="W4" s="1">
        <f>SUMIFS(grunnur!W$5:W$31,grunnur!$C$5:$C$31,"Reykjavík",grunnur!$D$5:$D$31,"9")</f>
        <v>1845503.2</v>
      </c>
      <c r="X4" s="1">
        <f>SUMIFS(grunnur!X$5:X$31,grunnur!$C$5:$C$31,"Reykjavík",grunnur!$D$5:$D$31,"9")</f>
        <v>1851337.8</v>
      </c>
      <c r="Y4" s="1">
        <f>SUMIFS(grunnur!Y$5:Y$31,grunnur!$C$5:$C$31,"Reykjavík",grunnur!$D$5:$D$31,"9")</f>
        <v>1864633.1</v>
      </c>
      <c r="Z4" s="1">
        <f>SUMIFS(grunnur!Z$5:Z$31,grunnur!$C$5:$C$31,"Reykjavík",grunnur!$D$5:$D$31,"9")</f>
        <v>1866689.9</v>
      </c>
      <c r="AA4" s="1">
        <f>SUMIFS(grunnur!AA$5:AA$31,grunnur!$C$5:$C$31,"Reykjavík",grunnur!$D$5:$D$31,"9")</f>
        <v>1902152.7</v>
      </c>
      <c r="AB4" s="1">
        <f>SUMIFS(grunnur!AB$5:AB$31,grunnur!$C$5:$C$31,"Reykjavík",grunnur!$D$5:$D$31,"9")</f>
        <v>1925580.7</v>
      </c>
      <c r="AC4" s="1">
        <f>SUMIFS(grunnur!AC$5:AC$31,grunnur!$C$5:$C$31,"Reykjavík",grunnur!$D$5:$D$31,"9")</f>
        <v>1920860.1</v>
      </c>
      <c r="AD4" s="1">
        <f>SUMIFS(grunnur!AD$5:AD$31,grunnur!$C$5:$C$31,"Reykjavík",grunnur!$D$5:$D$31,"9")</f>
        <v>1931900.3</v>
      </c>
      <c r="AE4" s="1">
        <f>SUMIFS(grunnur!AE$5:AE$31,grunnur!$C$5:$C$31,"Reykjavík",grunnur!$D$5:$D$31,"9")</f>
        <v>2031725.9</v>
      </c>
      <c r="AF4" s="1">
        <f>SUMIFS(grunnur!AF$5:AF$31,grunnur!$C$5:$C$31,"Reykjavík",grunnur!$D$5:$D$31,"9")</f>
        <v>2041730.5</v>
      </c>
    </row>
    <row r="5" spans="2:33" x14ac:dyDescent="0.25">
      <c r="B5" s="10">
        <v>1000</v>
      </c>
      <c r="C5" s="10" t="s">
        <v>11</v>
      </c>
      <c r="D5" s="23" t="s">
        <v>38</v>
      </c>
      <c r="E5" t="s">
        <v>10</v>
      </c>
      <c r="F5" s="1">
        <f>SUMIFS(grunnur!F$5:F$31,grunnur!$C$5:$C$31,"Kópavogur",grunnur!$D$5:$D$31,"9")</f>
        <v>69205.8</v>
      </c>
      <c r="G5" s="1">
        <f>SUMIFS(grunnur!G$5:G$31,grunnur!$C$5:$C$31,"Kópavogur",grunnur!$D$5:$D$31,"9")</f>
        <v>85744.6</v>
      </c>
      <c r="H5" s="1">
        <f>SUMIFS(grunnur!H$5:H$31,grunnur!$C$5:$C$31,"Kópavogur",grunnur!$D$5:$D$31,"9")</f>
        <v>91055.1</v>
      </c>
      <c r="I5" s="1">
        <f>SUMIFS(grunnur!I$5:I$31,grunnur!$C$5:$C$31,"Kópavogur",grunnur!$D$5:$D$31,"9")</f>
        <v>105761.7</v>
      </c>
      <c r="J5" s="1">
        <f>SUMIFS(grunnur!J$5:J$31,grunnur!$C$5:$C$31,"Kópavogur",grunnur!$D$5:$D$31,"9")</f>
        <v>114218.3</v>
      </c>
      <c r="K5" s="1">
        <f>SUMIFS(grunnur!K$5:K$31,grunnur!$C$5:$C$31,"Kópavogur",grunnur!$D$5:$D$31,"9")</f>
        <v>117810.5</v>
      </c>
      <c r="L5" s="1">
        <f>SUMIFS(grunnur!L$5:L$31,grunnur!$C$5:$C$31,"Kópavogur",grunnur!$D$5:$D$31,"9")</f>
        <v>125115.5</v>
      </c>
      <c r="M5" s="1">
        <f>SUMIFS(grunnur!M$5:M$31,grunnur!$C$5:$C$31,"Kópavogur",grunnur!$D$5:$D$31,"9")</f>
        <v>130805.3</v>
      </c>
      <c r="N5" s="1">
        <f>SUMIFS(grunnur!N$5:N$31,grunnur!$C$5:$C$31,"Kópavogur",grunnur!$D$5:$D$31,"9")</f>
        <v>173138.8</v>
      </c>
      <c r="O5" s="1">
        <f>SUMIFS(grunnur!O$5:O$31,grunnur!$C$5:$C$31,"Kópavogur",grunnur!$D$5:$D$31,"9")</f>
        <v>155744.29999999999</v>
      </c>
      <c r="P5" s="1">
        <f>SUMIFS(grunnur!P$5:P$31,grunnur!$C$5:$C$31,"Kópavogur",grunnur!$D$5:$D$31,"9")</f>
        <v>160818.4</v>
      </c>
      <c r="Q5" s="1">
        <f>SUMIFS(grunnur!Q$5:Q$31,grunnur!$C$5:$C$31,"Kópavogur",grunnur!$D$5:$D$31,"9")</f>
        <v>166494.29999999999</v>
      </c>
      <c r="R5" s="1">
        <f>SUMIFS(grunnur!R$5:R$31,grunnur!$C$5:$C$31,"Kópavogur",grunnur!$D$5:$D$31,"9")</f>
        <v>187755.1</v>
      </c>
      <c r="S5" s="1">
        <f>SUMIFS(grunnur!S$5:S$31,grunnur!$C$5:$C$31,"Kópavogur",grunnur!$D$5:$D$31,"9")</f>
        <v>207382.9</v>
      </c>
      <c r="T5" s="1">
        <f>SUMIFS(grunnur!T$5:T$31,grunnur!$C$5:$C$31,"Kópavogur",grunnur!$D$5:$D$31,"9")</f>
        <v>216579.9</v>
      </c>
      <c r="U5" s="1">
        <f>SUMIFS(grunnur!U$5:U$31,grunnur!$C$5:$C$31,"Kópavogur",grunnur!$D$5:$D$31,"9")</f>
        <v>222032.8</v>
      </c>
      <c r="V5" s="1">
        <f>SUMIFS(grunnur!V$5:V$31,grunnur!$C$5:$C$31,"Kópavogur",grunnur!$D$5:$D$31,"9")</f>
        <v>222426.2</v>
      </c>
      <c r="W5" s="1">
        <f>SUMIFS(grunnur!W$5:W$31,grunnur!$C$5:$C$31,"Kópavogur",grunnur!$D$5:$D$31,"9")</f>
        <v>222803.20000000001</v>
      </c>
      <c r="X5" s="1">
        <f>SUMIFS(grunnur!X$5:X$31,grunnur!$C$5:$C$31,"Kópavogur",grunnur!$D$5:$D$31,"9")</f>
        <v>216162.2</v>
      </c>
      <c r="Y5" s="1">
        <f>SUMIFS(grunnur!Y$5:Y$31,grunnur!$C$5:$C$31,"Kópavogur",grunnur!$D$5:$D$31,"9")</f>
        <v>216219.1</v>
      </c>
      <c r="Z5" s="1">
        <f>SUMIFS(grunnur!Z$5:Z$31,grunnur!$C$5:$C$31,"Kópavogur",grunnur!$D$5:$D$31,"9")</f>
        <v>218100.9</v>
      </c>
      <c r="AA5" s="1">
        <f>SUMIFS(grunnur!AA$5:AA$31,grunnur!$C$5:$C$31,"Kópavogur",grunnur!$D$5:$D$31,"9")</f>
        <v>217275.8</v>
      </c>
      <c r="AB5" s="1">
        <f>SUMIFS(grunnur!AB$5:AB$31,grunnur!$C$5:$C$31,"Kópavogur",grunnur!$D$5:$D$31,"9")</f>
        <v>216423.2</v>
      </c>
      <c r="AC5" s="1">
        <f>SUMIFS(grunnur!AC$5:AC$31,grunnur!$C$5:$C$31,"Kópavogur",grunnur!$D$5:$D$31,"9")</f>
        <v>224949.3</v>
      </c>
      <c r="AD5" s="1">
        <f>SUMIFS(grunnur!AD$5:AD$31,grunnur!$C$5:$C$31,"Kópavogur",grunnur!$D$5:$D$31,"9")</f>
        <v>227673</v>
      </c>
      <c r="AE5" s="1">
        <f>SUMIFS(grunnur!AE$5:AE$31,grunnur!$C$5:$C$31,"Kópavogur",grunnur!$D$5:$D$31,"9")</f>
        <v>232115.1</v>
      </c>
      <c r="AF5" s="1">
        <f>SUMIFS(grunnur!AF$5:AF$31,grunnur!$C$5:$C$31,"Kópavogur",grunnur!$D$5:$D$31,"9")</f>
        <v>232314.2</v>
      </c>
    </row>
    <row r="6" spans="2:33" x14ac:dyDescent="0.25">
      <c r="B6" s="10">
        <v>1100</v>
      </c>
      <c r="C6" s="10" t="s">
        <v>17</v>
      </c>
      <c r="D6" s="23" t="s">
        <v>38</v>
      </c>
      <c r="E6" t="s">
        <v>10</v>
      </c>
      <c r="F6" s="1">
        <f>SUMIFS(grunnur!F$5:F$31,grunnur!$C$5:$C$31,"Seltjarnarnesbær",grunnur!$D$5:$D$31,"9")</f>
        <v>7590</v>
      </c>
      <c r="G6" s="1">
        <f>SUMIFS(grunnur!G$5:G$31,grunnur!$C$5:$C$31,"Seltjarnarnesbær",grunnur!$D$5:$D$31,"9")</f>
        <v>6401.2</v>
      </c>
      <c r="H6" s="1">
        <f>SUMIFS(grunnur!H$5:H$31,grunnur!$C$5:$C$31,"Seltjarnarnesbær",grunnur!$D$5:$D$31,"9")</f>
        <v>8986</v>
      </c>
      <c r="I6" s="1">
        <f>SUMIFS(grunnur!I$5:I$31,grunnur!$C$5:$C$31,"Seltjarnarnesbær",grunnur!$D$5:$D$31,"9")</f>
        <v>8527.7999999999993</v>
      </c>
      <c r="J6" s="1">
        <f>SUMIFS(grunnur!J$5:J$31,grunnur!$C$5:$C$31,"Seltjarnarnesbær",grunnur!$D$5:$D$31,"9")</f>
        <v>11909.3</v>
      </c>
      <c r="K6" s="1">
        <f>SUMIFS(grunnur!K$5:K$31,grunnur!$C$5:$C$31,"Seltjarnarnesbær",grunnur!$D$5:$D$31,"9")</f>
        <v>12149.1</v>
      </c>
      <c r="L6" s="1">
        <f>SUMIFS(grunnur!L$5:L$31,grunnur!$C$5:$C$31,"Seltjarnarnesbær",grunnur!$D$5:$D$31,"9")</f>
        <v>12022.8</v>
      </c>
      <c r="M6" s="1">
        <f>SUMIFS(grunnur!M$5:M$31,grunnur!$C$5:$C$31,"Seltjarnarnesbær",grunnur!$D$5:$D$31,"9")</f>
        <v>12022.8</v>
      </c>
      <c r="N6" s="1">
        <f>SUMIFS(grunnur!N$5:N$31,grunnur!$C$5:$C$31,"Seltjarnarnesbær",grunnur!$D$5:$D$31,"9")</f>
        <v>12022.8</v>
      </c>
      <c r="O6" s="1">
        <f>SUMIFS(grunnur!O$5:O$31,grunnur!$C$5:$C$31,"Seltjarnarnesbær",grunnur!$D$5:$D$31,"9")</f>
        <v>11992.6</v>
      </c>
      <c r="P6" s="1">
        <f>SUMIFS(grunnur!P$5:P$31,grunnur!$C$5:$C$31,"Seltjarnarnesbær",grunnur!$D$5:$D$31,"9")</f>
        <v>11985.8</v>
      </c>
      <c r="Q6" s="1">
        <f>SUMIFS(grunnur!Q$5:Q$31,grunnur!$C$5:$C$31,"Seltjarnarnesbær",grunnur!$D$5:$D$31,"9")</f>
        <v>11985.8</v>
      </c>
      <c r="R6" s="1">
        <f>SUMIFS(grunnur!R$5:R$31,grunnur!$C$5:$C$31,"Seltjarnarnesbær",grunnur!$D$5:$D$31,"9")</f>
        <v>18786.900000000001</v>
      </c>
      <c r="S6" s="1">
        <f>SUMIFS(grunnur!S$5:S$31,grunnur!$C$5:$C$31,"Seltjarnarnesbær",grunnur!$D$5:$D$31,"9")</f>
        <v>18724.5</v>
      </c>
      <c r="T6" s="1">
        <f>SUMIFS(grunnur!T$5:T$31,grunnur!$C$5:$C$31,"Seltjarnarnesbær",grunnur!$D$5:$D$31,"9")</f>
        <v>19201.099999999999</v>
      </c>
      <c r="U6" s="1">
        <f>SUMIFS(grunnur!U$5:U$31,grunnur!$C$5:$C$31,"Seltjarnarnesbær",grunnur!$D$5:$D$31,"9")</f>
        <v>19218.2</v>
      </c>
      <c r="V6" s="1">
        <f>SUMIFS(grunnur!V$5:V$31,grunnur!$C$5:$C$31,"Seltjarnarnesbær",grunnur!$D$5:$D$31,"9")</f>
        <v>19218.2</v>
      </c>
      <c r="W6" s="1">
        <f>SUMIFS(grunnur!W$5:W$31,grunnur!$C$5:$C$31,"Seltjarnarnesbær",grunnur!$D$5:$D$31,"9")</f>
        <v>19153.3</v>
      </c>
      <c r="X6" s="1">
        <f>SUMIFS(grunnur!X$5:X$31,grunnur!$C$5:$C$31,"Seltjarnarnesbær",grunnur!$D$5:$D$31,"9")</f>
        <v>19153.3</v>
      </c>
      <c r="Y6" s="1">
        <f>SUMIFS(grunnur!Y$5:Y$31,grunnur!$C$5:$C$31,"Seltjarnarnesbær",grunnur!$D$5:$D$31,"9")</f>
        <v>19153.3</v>
      </c>
      <c r="Z6" s="1">
        <f>SUMIFS(grunnur!Z$5:Z$31,grunnur!$C$5:$C$31,"Seltjarnarnesbær",grunnur!$D$5:$D$31,"9")</f>
        <v>19153.3</v>
      </c>
      <c r="AA6" s="1">
        <f>SUMIFS(grunnur!AA$5:AA$31,grunnur!$C$5:$C$31,"Seltjarnarnesbær",grunnur!$D$5:$D$31,"9")</f>
        <v>19611.5</v>
      </c>
      <c r="AB6" s="1">
        <f>SUMIFS(grunnur!AB$5:AB$31,grunnur!$C$5:$C$31,"Seltjarnarnesbær",grunnur!$D$5:$D$31,"9")</f>
        <v>19611.5</v>
      </c>
      <c r="AC6" s="1">
        <f>SUMIFS(grunnur!AC$5:AC$31,grunnur!$C$5:$C$31,"Seltjarnarnesbær",grunnur!$D$5:$D$31,"9")</f>
        <v>19546.5</v>
      </c>
      <c r="AD6" s="1">
        <f>SUMIFS(grunnur!AD$5:AD$31,grunnur!$C$5:$C$31,"Seltjarnarnesbær",grunnur!$D$5:$D$31,"9")</f>
        <v>19546.5</v>
      </c>
      <c r="AE6" s="1">
        <f>SUMIFS(grunnur!AE$5:AE$31,grunnur!$C$5:$C$31,"Seltjarnarnesbær",grunnur!$D$5:$D$31,"9")</f>
        <v>22867.7</v>
      </c>
      <c r="AF6" s="1">
        <f>SUMIFS(grunnur!AF$5:AF$31,grunnur!$C$5:$C$31,"Seltjarnarnesbær",grunnur!$D$5:$D$31,"9")</f>
        <v>22867.7</v>
      </c>
      <c r="AG6" s="1"/>
    </row>
    <row r="7" spans="2:33" x14ac:dyDescent="0.25">
      <c r="B7" s="10">
        <v>1300</v>
      </c>
      <c r="C7" s="10" t="s">
        <v>13</v>
      </c>
      <c r="D7" s="23" t="s">
        <v>38</v>
      </c>
      <c r="E7" t="s">
        <v>10</v>
      </c>
      <c r="F7" s="1">
        <f>SUMIFS(grunnur!F$5:F$31,grunnur!$C$5:$C$31,"Garðabær",grunnur!$D$5:$D$31,"9")</f>
        <v>32621.7</v>
      </c>
      <c r="G7" s="1">
        <f>SUMIFS(grunnur!G$5:G$31,grunnur!$C$5:$C$31,"Garðabær",grunnur!$D$5:$D$31,"9")</f>
        <v>33707.5</v>
      </c>
      <c r="H7" s="1">
        <f>SUMIFS(grunnur!H$5:H$31,grunnur!$C$5:$C$31,"Garðabær",grunnur!$D$5:$D$31,"9")</f>
        <v>34658.9</v>
      </c>
      <c r="I7" s="1">
        <f>SUMIFS(grunnur!I$5:I$31,grunnur!$C$5:$C$31,"Garðabær",grunnur!$D$5:$D$31,"9")</f>
        <v>40802</v>
      </c>
      <c r="J7" s="1">
        <f>SUMIFS(grunnur!J$5:J$31,grunnur!$C$5:$C$31,"Garðabær",grunnur!$D$5:$D$31,"9")</f>
        <v>40820.1</v>
      </c>
      <c r="K7" s="1">
        <f>SUMIFS(grunnur!K$5:K$31,grunnur!$C$5:$C$31,"Garðabær",grunnur!$D$5:$D$31,"9")</f>
        <v>40078.1</v>
      </c>
      <c r="L7" s="1">
        <f>SUMIFS(grunnur!L$5:L$31,grunnur!$C$5:$C$31,"Garðabær",grunnur!$D$5:$D$31,"9")</f>
        <v>41673.699999999997</v>
      </c>
      <c r="M7" s="1">
        <f>SUMIFS(grunnur!M$5:M$31,grunnur!$C$5:$C$31,"Garðabær",grunnur!$D$5:$D$31,"9")</f>
        <v>42308.4</v>
      </c>
      <c r="N7" s="1">
        <f>SUMIFS(grunnur!N$5:N$31,grunnur!$C$5:$C$31,"Garðabær",grunnur!$D$5:$D$31,"9")</f>
        <v>43567.4</v>
      </c>
      <c r="O7" s="1">
        <f>SUMIFS(grunnur!O$5:O$31,grunnur!$C$5:$C$31,"Garðabær",grunnur!$D$5:$D$31,"9")</f>
        <v>43243.199999999997</v>
      </c>
      <c r="P7" s="1">
        <f>SUMIFS(grunnur!P$5:P$31,grunnur!$C$5:$C$31,"Garðabær",grunnur!$D$5:$D$31,"9")</f>
        <v>50425.4</v>
      </c>
      <c r="Q7" s="1">
        <f>SUMIFS(grunnur!Q$5:Q$31,grunnur!$C$5:$C$31,"Garðabær",grunnur!$D$5:$D$31,"9")</f>
        <v>62353.8</v>
      </c>
      <c r="R7" s="1">
        <f>SUMIFS(grunnur!R$5:R$31,grunnur!$C$5:$C$31,"Garðabær",grunnur!$D$5:$D$31,"9")</f>
        <v>62753.1</v>
      </c>
      <c r="S7" s="1">
        <f>SUMIFS(grunnur!S$5:S$31,grunnur!$C$5:$C$31,"Garðabær",grunnur!$D$5:$D$31,"9")</f>
        <v>65726.899999999994</v>
      </c>
      <c r="T7" s="1">
        <f>SUMIFS(grunnur!T$5:T$31,grunnur!$C$5:$C$31,"Garðabær",grunnur!$D$5:$D$31,"9")</f>
        <v>68367.3</v>
      </c>
      <c r="U7" s="1">
        <f>SUMIFS(grunnur!U$5:U$31,grunnur!$C$5:$C$31,"Garðabær",grunnur!$D$5:$D$31,"9")</f>
        <v>68386.3</v>
      </c>
      <c r="V7" s="1">
        <f>SUMIFS(grunnur!V$5:V$31,grunnur!$C$5:$C$31,"Garðabær",grunnur!$D$5:$D$31,"9")</f>
        <v>68434.600000000006</v>
      </c>
      <c r="W7" s="1">
        <f>SUMIFS(grunnur!W$5:W$31,grunnur!$C$5:$C$31,"Garðabær",grunnur!$D$5:$D$31,"9")</f>
        <v>75309.899999999994</v>
      </c>
      <c r="X7" s="1">
        <f>SUMIFS(grunnur!X$5:X$31,grunnur!$C$5:$C$31,"Garðabær",grunnur!$D$5:$D$31,"9")</f>
        <v>75324.800000000003</v>
      </c>
      <c r="Y7" s="1">
        <f>SUMIFS(grunnur!Y$5:Y$31,grunnur!$C$5:$C$31,"Garðabær",grunnur!$D$5:$D$31,"9")</f>
        <v>89957.3</v>
      </c>
      <c r="Z7" s="1">
        <f>SUMIFS(grunnur!Z$5:Z$31,grunnur!$C$5:$C$31,"Garðabær",grunnur!$D$5:$D$31,"9")</f>
        <v>90507.9</v>
      </c>
      <c r="AA7" s="1">
        <f>SUMIFS(grunnur!AA$5:AA$31,grunnur!$C$5:$C$31,"Garðabær",grunnur!$D$5:$D$31,"9")</f>
        <v>90464.9</v>
      </c>
      <c r="AB7" s="1">
        <f>SUMIFS(grunnur!AB$5:AB$31,grunnur!$C$5:$C$31,"Garðabær",grunnur!$D$5:$D$31,"9")</f>
        <v>90464.9</v>
      </c>
      <c r="AC7" s="1">
        <f>SUMIFS(grunnur!AC$5:AC$31,grunnur!$C$5:$C$31,"Garðabær",grunnur!$D$5:$D$31,"9")</f>
        <v>90464.9</v>
      </c>
      <c r="AD7" s="1">
        <f>SUMIFS(grunnur!AD$5:AD$31,grunnur!$C$5:$C$31,"Garðabær",grunnur!$D$5:$D$31,"9")</f>
        <v>95395.4</v>
      </c>
      <c r="AE7" s="1">
        <f>SUMIFS(grunnur!AE$5:AE$31,grunnur!$C$5:$C$31,"Garðabær",grunnur!$D$5:$D$31,"9")</f>
        <v>95463.8</v>
      </c>
      <c r="AF7" s="1">
        <f>SUMIFS(grunnur!AF$5:AF$31,grunnur!$C$5:$C$31,"Garðabær",grunnur!$D$5:$D$31,"9")</f>
        <v>95463.8</v>
      </c>
    </row>
    <row r="8" spans="2:33" x14ac:dyDescent="0.25">
      <c r="B8" s="10">
        <v>1400</v>
      </c>
      <c r="C8" s="10" t="s">
        <v>14</v>
      </c>
      <c r="D8" s="23" t="s">
        <v>38</v>
      </c>
      <c r="E8" t="s">
        <v>10</v>
      </c>
      <c r="F8" s="1">
        <f>SUMIFS(grunnur!F$5:F$31,grunnur!$C$5:$C$31,"Hafnarfjörður",grunnur!$D$5:$D$31,"9")</f>
        <v>123033.3</v>
      </c>
      <c r="G8" s="1">
        <f>SUMIFS(grunnur!G$5:G$31,grunnur!$C$5:$C$31,"Hafnarfjörður",grunnur!$D$5:$D$31,"9")</f>
        <v>118987.1</v>
      </c>
      <c r="H8" s="1">
        <f>SUMIFS(grunnur!H$5:H$31,grunnur!$C$5:$C$31,"Hafnarfjörður",grunnur!$D$5:$D$31,"9")</f>
        <v>119815.3</v>
      </c>
      <c r="I8" s="1">
        <f>SUMIFS(grunnur!I$5:I$31,grunnur!$C$5:$C$31,"Hafnarfjörður",grunnur!$D$5:$D$31,"9")</f>
        <v>189184.3</v>
      </c>
      <c r="J8" s="1">
        <f>SUMIFS(grunnur!J$5:J$31,grunnur!$C$5:$C$31,"Hafnarfjörður",grunnur!$D$5:$D$31,"9")</f>
        <v>198592.3</v>
      </c>
      <c r="K8" s="1">
        <f>SUMIFS(grunnur!K$5:K$31,grunnur!$C$5:$C$31,"Hafnarfjörður",grunnur!$D$5:$D$31,"9")</f>
        <v>206712.8</v>
      </c>
      <c r="L8" s="1">
        <f>SUMIFS(grunnur!L$5:L$31,grunnur!$C$5:$C$31,"Hafnarfjörður",grunnur!$D$5:$D$31,"9")</f>
        <v>215466.9</v>
      </c>
      <c r="M8" s="1">
        <f>SUMIFS(grunnur!M$5:M$31,grunnur!$C$5:$C$31,"Hafnarfjörður",grunnur!$D$5:$D$31,"9")</f>
        <v>220769.5</v>
      </c>
      <c r="N8" s="1">
        <f>SUMIFS(grunnur!N$5:N$31,grunnur!$C$5:$C$31,"Hafnarfjörður",grunnur!$D$5:$D$31,"9")</f>
        <v>233475.3</v>
      </c>
      <c r="O8" s="1">
        <f>SUMIFS(grunnur!O$5:O$31,grunnur!$C$5:$C$31,"Hafnarfjörður",grunnur!$D$5:$D$31,"9")</f>
        <v>365123.1</v>
      </c>
      <c r="P8" s="1">
        <f>SUMIFS(grunnur!P$5:P$31,grunnur!$C$5:$C$31,"Hafnarfjörður",grunnur!$D$5:$D$31,"9")</f>
        <v>370154.7</v>
      </c>
      <c r="Q8" s="1">
        <f>SUMIFS(grunnur!Q$5:Q$31,grunnur!$C$5:$C$31,"Hafnarfjörður",grunnur!$D$5:$D$31,"9")</f>
        <v>381033.8</v>
      </c>
      <c r="R8" s="1">
        <f>SUMIFS(grunnur!R$5:R$31,grunnur!$C$5:$C$31,"Hafnarfjörður",grunnur!$D$5:$D$31,"9")</f>
        <v>385938.5</v>
      </c>
      <c r="S8" s="1">
        <f>SUMIFS(grunnur!S$5:S$31,grunnur!$C$5:$C$31,"Hafnarfjörður",grunnur!$D$5:$D$31,"9")</f>
        <v>396506</v>
      </c>
      <c r="T8" s="1">
        <f>SUMIFS(grunnur!T$5:T$31,grunnur!$C$5:$C$31,"Hafnarfjörður",grunnur!$D$5:$D$31,"9")</f>
        <v>398546.6</v>
      </c>
      <c r="U8" s="1">
        <f>SUMIFS(grunnur!U$5:U$31,grunnur!$C$5:$C$31,"Hafnarfjörður",grunnur!$D$5:$D$31,"9")</f>
        <v>394636.5</v>
      </c>
      <c r="V8" s="1">
        <f>SUMIFS(grunnur!V$5:V$31,grunnur!$C$5:$C$31,"Hafnarfjörður",grunnur!$D$5:$D$31,"9")</f>
        <v>403339.9</v>
      </c>
      <c r="W8" s="1">
        <f>SUMIFS(grunnur!W$5:W$31,grunnur!$C$5:$C$31,"Hafnarfjörður",grunnur!$D$5:$D$31,"9")</f>
        <v>409423.3</v>
      </c>
      <c r="X8" s="1">
        <f>SUMIFS(grunnur!X$5:X$31,grunnur!$C$5:$C$31,"Hafnarfjörður",grunnur!$D$5:$D$31,"9")</f>
        <v>411110.7</v>
      </c>
      <c r="Y8" s="1">
        <f>SUMIFS(grunnur!Y$5:Y$31,grunnur!$C$5:$C$31,"Hafnarfjörður",grunnur!$D$5:$D$31,"9")</f>
        <v>418089.3</v>
      </c>
      <c r="Z8" s="1">
        <f>SUMIFS(grunnur!Z$5:Z$31,grunnur!$C$5:$C$31,"Hafnarfjörður",grunnur!$D$5:$D$31,"9")</f>
        <v>421415.5</v>
      </c>
      <c r="AA8" s="1">
        <f>SUMIFS(grunnur!AA$5:AA$31,grunnur!$C$5:$C$31,"Hafnarfjörður",grunnur!$D$5:$D$31,"9")</f>
        <v>424713.7</v>
      </c>
      <c r="AB8" s="1">
        <f>SUMIFS(grunnur!AB$5:AB$31,grunnur!$C$5:$C$31,"Hafnarfjörður",grunnur!$D$5:$D$31,"9")</f>
        <v>423125.1</v>
      </c>
      <c r="AC8" s="1">
        <f>SUMIFS(grunnur!AC$5:AC$31,grunnur!$C$5:$C$31,"Hafnarfjörður",grunnur!$D$5:$D$31,"9")</f>
        <v>434258.3</v>
      </c>
      <c r="AD8" s="1">
        <f>SUMIFS(grunnur!AD$5:AD$31,grunnur!$C$5:$C$31,"Hafnarfjörður",grunnur!$D$5:$D$31,"9")</f>
        <v>427118.7</v>
      </c>
      <c r="AE8" s="1">
        <f>SUMIFS(grunnur!AE$5:AE$31,grunnur!$C$5:$C$31,"Hafnarfjörður",grunnur!$D$5:$D$31,"9")</f>
        <v>427482.5</v>
      </c>
      <c r="AF8" s="1">
        <f>SUMIFS(grunnur!AF$5:AF$31,grunnur!$C$5:$C$31,"Hafnarfjörður",grunnur!$D$5:$D$31,"9")</f>
        <v>428824.2</v>
      </c>
    </row>
    <row r="9" spans="2:33" x14ac:dyDescent="0.25">
      <c r="B9" s="10">
        <v>1604</v>
      </c>
      <c r="C9" s="10" t="s">
        <v>15</v>
      </c>
      <c r="D9" s="23" t="s">
        <v>38</v>
      </c>
      <c r="E9" t="s">
        <v>10</v>
      </c>
      <c r="F9" s="1">
        <f>SUMIFS(grunnur!F$5:F$31,grunnur!$C$5:$C$31,"Mosfellsbær",grunnur!$D$5:$D$31,"9")</f>
        <v>38930.699999999997</v>
      </c>
      <c r="G9" s="1">
        <f>SUMIFS(grunnur!G$5:G$31,grunnur!$C$5:$C$31,"Mosfellsbær",grunnur!$D$5:$D$31,"9")</f>
        <v>37899</v>
      </c>
      <c r="H9" s="1">
        <f>SUMIFS(grunnur!H$5:H$31,grunnur!$C$5:$C$31,"Mosfellsbær",grunnur!$D$5:$D$31,"9")</f>
        <v>41272.5</v>
      </c>
      <c r="I9" s="1">
        <f>SUMIFS(grunnur!I$5:I$31,grunnur!$C$5:$C$31,"Mosfellsbær",grunnur!$D$5:$D$31,"9")</f>
        <v>45710.9</v>
      </c>
      <c r="J9" s="1">
        <f>SUMIFS(grunnur!J$5:J$31,grunnur!$C$5:$C$31,"Mosfellsbær",grunnur!$D$5:$D$31,"9")</f>
        <v>55316</v>
      </c>
      <c r="K9" s="1">
        <f>SUMIFS(grunnur!K$5:K$31,grunnur!$C$5:$C$31,"Mosfellsbær",grunnur!$D$5:$D$31,"9")</f>
        <v>58741.9</v>
      </c>
      <c r="L9" s="1">
        <f>SUMIFS(grunnur!L$5:L$31,grunnur!$C$5:$C$31,"Mosfellsbær",grunnur!$D$5:$D$31,"9")</f>
        <v>62341.8</v>
      </c>
      <c r="M9" s="1">
        <f>SUMIFS(grunnur!M$5:M$31,grunnur!$C$5:$C$31,"Mosfellsbær",grunnur!$D$5:$D$31,"9")</f>
        <v>61625.1</v>
      </c>
      <c r="N9" s="1">
        <f>SUMIFS(grunnur!N$5:N$31,grunnur!$C$5:$C$31,"Mosfellsbær",grunnur!$D$5:$D$31,"9")</f>
        <v>72858.2</v>
      </c>
      <c r="O9" s="1">
        <f>SUMIFS(grunnur!O$5:O$31,grunnur!$C$5:$C$31,"Mosfellsbær",grunnur!$D$5:$D$31,"9")</f>
        <v>79948.5</v>
      </c>
      <c r="P9" s="1">
        <f>SUMIFS(grunnur!P$5:P$31,grunnur!$C$5:$C$31,"Mosfellsbær",grunnur!$D$5:$D$31,"9")</f>
        <v>81722.600000000006</v>
      </c>
      <c r="Q9" s="1">
        <f>SUMIFS(grunnur!Q$5:Q$31,grunnur!$C$5:$C$31,"Mosfellsbær",grunnur!$D$5:$D$31,"9")</f>
        <v>96938.7</v>
      </c>
      <c r="R9" s="1">
        <f>SUMIFS(grunnur!R$5:R$31,grunnur!$C$5:$C$31,"Mosfellsbær",grunnur!$D$5:$D$31,"9")</f>
        <v>86708.7</v>
      </c>
      <c r="S9" s="1">
        <f>SUMIFS(grunnur!S$5:S$31,grunnur!$C$5:$C$31,"Mosfellsbær",grunnur!$D$5:$D$31,"9")</f>
        <v>88040.9</v>
      </c>
      <c r="T9" s="1">
        <f>SUMIFS(grunnur!T$5:T$31,grunnur!$C$5:$C$31,"Mosfellsbær",grunnur!$D$5:$D$31,"9")</f>
        <v>88220.5</v>
      </c>
      <c r="U9" s="1">
        <f>SUMIFS(grunnur!U$5:U$31,grunnur!$C$5:$C$31,"Mosfellsbær",grunnur!$D$5:$D$31,"9")</f>
        <v>89047.2</v>
      </c>
      <c r="V9" s="1">
        <f>SUMIFS(grunnur!V$5:V$31,grunnur!$C$5:$C$31,"Mosfellsbær",grunnur!$D$5:$D$31,"9")</f>
        <v>93615</v>
      </c>
      <c r="W9" s="1">
        <f>SUMIFS(grunnur!W$5:W$31,grunnur!$C$5:$C$31,"Mosfellsbær",grunnur!$D$5:$D$31,"9")</f>
        <v>93741.1</v>
      </c>
      <c r="X9" s="1">
        <f>SUMIFS(grunnur!X$5:X$31,grunnur!$C$5:$C$31,"Mosfellsbær",grunnur!$D$5:$D$31,"9")</f>
        <v>95307.3</v>
      </c>
      <c r="Y9" s="1">
        <f>SUMIFS(grunnur!Y$5:Y$31,grunnur!$C$5:$C$31,"Mosfellsbær",grunnur!$D$5:$D$31,"9")</f>
        <v>99561.2</v>
      </c>
      <c r="Z9" s="1">
        <f>SUMIFS(grunnur!Z$5:Z$31,grunnur!$C$5:$C$31,"Mosfellsbær",grunnur!$D$5:$D$31,"9")</f>
        <v>101930</v>
      </c>
      <c r="AA9" s="1">
        <f>SUMIFS(grunnur!AA$5:AA$31,grunnur!$C$5:$C$31,"Mosfellsbær",grunnur!$D$5:$D$31,"9")</f>
        <v>104951.3</v>
      </c>
      <c r="AB9" s="1">
        <f>SUMIFS(grunnur!AB$5:AB$31,grunnur!$C$5:$C$31,"Mosfellsbær",grunnur!$D$5:$D$31,"9")</f>
        <v>104861.5</v>
      </c>
      <c r="AC9" s="1">
        <f>SUMIFS(grunnur!AC$5:AC$31,grunnur!$C$5:$C$31,"Mosfellsbær",grunnur!$D$5:$D$31,"9")</f>
        <v>106268.8</v>
      </c>
      <c r="AD9" s="1">
        <f>SUMIFS(grunnur!AD$5:AD$31,grunnur!$C$5:$C$31,"Mosfellsbær",grunnur!$D$5:$D$31,"9")</f>
        <v>109952.7</v>
      </c>
      <c r="AE9" s="1">
        <f>SUMIFS(grunnur!AE$5:AE$31,grunnur!$C$5:$C$31,"Mosfellsbær",grunnur!$D$5:$D$31,"9")</f>
        <v>113599.2</v>
      </c>
      <c r="AF9" s="1">
        <f>SUMIFS(grunnur!AF$5:AF$31,grunnur!$C$5:$C$31,"Mosfellsbær",grunnur!$D$5:$D$31,"9")</f>
        <v>114860.4</v>
      </c>
    </row>
    <row r="10" spans="2:33" x14ac:dyDescent="0.25">
      <c r="B10" s="16">
        <v>1606</v>
      </c>
      <c r="C10" s="16" t="s">
        <v>16</v>
      </c>
      <c r="D10" s="24" t="s">
        <v>38</v>
      </c>
      <c r="E10" s="18" t="s">
        <v>10</v>
      </c>
      <c r="F10" s="3">
        <f>SUMIFS(grunnur!F$5:F$31,grunnur!$C$5:$C$31,"Kjósarhreppur",grunnur!$D$5:$D$31,"9")</f>
        <v>5427.5</v>
      </c>
      <c r="G10" s="3">
        <f>SUMIFS(grunnur!G$5:G$31,grunnur!$C$5:$C$31,"Kjósarhreppur",grunnur!$D$5:$D$31,"9")</f>
        <v>5639.5</v>
      </c>
      <c r="H10" s="3">
        <f>SUMIFS(grunnur!H$5:H$31,grunnur!$C$5:$C$31,"Kjósarhreppur",grunnur!$D$5:$D$31,"9")</f>
        <v>5683.9</v>
      </c>
      <c r="I10" s="3">
        <f>SUMIFS(grunnur!I$5:I$31,grunnur!$C$5:$C$31,"Kjósarhreppur",grunnur!$D$5:$D$31,"9")</f>
        <v>5527.6</v>
      </c>
      <c r="J10" s="3">
        <f>SUMIFS(grunnur!J$5:J$31,grunnur!$C$5:$C$31,"Kjósarhreppur",grunnur!$D$5:$D$31,"9")</f>
        <v>6220.4</v>
      </c>
      <c r="K10" s="3">
        <f>SUMIFS(grunnur!K$5:K$31,grunnur!$C$5:$C$31,"Kjósarhreppur",grunnur!$D$5:$D$31,"9")</f>
        <v>6220.4</v>
      </c>
      <c r="L10" s="3">
        <f>SUMIFS(grunnur!L$5:L$31,grunnur!$C$5:$C$31,"Kjósarhreppur",grunnur!$D$5:$D$31,"9")</f>
        <v>6144.5</v>
      </c>
      <c r="M10" s="3">
        <f>SUMIFS(grunnur!M$5:M$31,grunnur!$C$5:$C$31,"Kjósarhreppur",grunnur!$D$5:$D$31,"9")</f>
        <v>3186.1</v>
      </c>
      <c r="N10" s="3">
        <f>SUMIFS(grunnur!N$5:N$31,grunnur!$C$5:$C$31,"Kjósarhreppur",grunnur!$D$5:$D$31,"9")</f>
        <v>3115.4</v>
      </c>
      <c r="O10" s="3">
        <f>SUMIFS(grunnur!O$5:O$31,grunnur!$C$5:$C$31,"Kjósarhreppur",grunnur!$D$5:$D$31,"9")</f>
        <v>3657.2</v>
      </c>
      <c r="P10" s="3">
        <f>SUMIFS(grunnur!P$5:P$31,grunnur!$C$5:$C$31,"Kjósarhreppur",grunnur!$D$5:$D$31,"9")</f>
        <v>3737.7</v>
      </c>
      <c r="Q10" s="3">
        <f>SUMIFS(grunnur!Q$5:Q$31,grunnur!$C$5:$C$31,"Kjósarhreppur",grunnur!$D$5:$D$31,"9")</f>
        <v>3255.7</v>
      </c>
      <c r="R10" s="3">
        <f>SUMIFS(grunnur!R$5:R$31,grunnur!$C$5:$C$31,"Kjósarhreppur",grunnur!$D$5:$D$31,"9")</f>
        <v>3907.1</v>
      </c>
      <c r="S10" s="3">
        <f>SUMIFS(grunnur!S$5:S$31,grunnur!$C$5:$C$31,"Kjósarhreppur",grunnur!$D$5:$D$31,"9")</f>
        <v>4197.8999999999996</v>
      </c>
      <c r="T10" s="3">
        <f>SUMIFS(grunnur!T$5:T$31,grunnur!$C$5:$C$31,"Kjósarhreppur",grunnur!$D$5:$D$31,"9")</f>
        <v>4197.8999999999996</v>
      </c>
      <c r="U10" s="3">
        <f>SUMIFS(grunnur!U$5:U$31,grunnur!$C$5:$C$31,"Kjósarhreppur",grunnur!$D$5:$D$31,"9")</f>
        <v>4197.8999999999996</v>
      </c>
      <c r="V10" s="3">
        <f>SUMIFS(grunnur!V$5:V$31,grunnur!$C$5:$C$31,"Kjósarhreppur",grunnur!$D$5:$D$31,"9")</f>
        <v>4192.3</v>
      </c>
      <c r="W10" s="3">
        <f>SUMIFS(grunnur!W$5:W$31,grunnur!$C$5:$C$31,"Kjósarhreppur",grunnur!$D$5:$D$31,"9")</f>
        <v>4144.3</v>
      </c>
      <c r="X10" s="3">
        <f>SUMIFS(grunnur!X$5:X$31,grunnur!$C$5:$C$31,"Kjósarhreppur",grunnur!$D$5:$D$31,"9")</f>
        <v>4144.3</v>
      </c>
      <c r="Y10" s="3">
        <f>SUMIFS(grunnur!Y$5:Y$31,grunnur!$C$5:$C$31,"Kjósarhreppur",grunnur!$D$5:$D$31,"9")</f>
        <v>4144.3</v>
      </c>
      <c r="Z10" s="3">
        <f>SUMIFS(grunnur!Z$5:Z$31,grunnur!$C$5:$C$31,"Kjósarhreppur",grunnur!$D$5:$D$31,"9")</f>
        <v>4144.3</v>
      </c>
      <c r="AA10" s="3">
        <f>SUMIFS(grunnur!AA$5:AA$31,grunnur!$C$5:$C$31,"Kjósarhreppur",grunnur!$D$5:$D$31,"9")</f>
        <v>4144.3</v>
      </c>
      <c r="AB10" s="3">
        <f>SUMIFS(grunnur!AB$5:AB$31,grunnur!$C$5:$C$31,"Kjósarhreppur",grunnur!$D$5:$D$31,"9")</f>
        <v>4144.3</v>
      </c>
      <c r="AC10" s="3">
        <f>SUMIFS(grunnur!AC$5:AC$31,grunnur!$C$5:$C$31,"Kjósarhreppur",grunnur!$D$5:$D$31,"9")</f>
        <v>4294.5</v>
      </c>
      <c r="AD10" s="3">
        <f>SUMIFS(grunnur!AD$5:AD$31,grunnur!$C$5:$C$31,"Kjósarhreppur",grunnur!$D$5:$D$31,"9")</f>
        <v>4268.8999999999996</v>
      </c>
      <c r="AE10" s="3">
        <f>SUMIFS(grunnur!AE$5:AE$31,grunnur!$C$5:$C$31,"Kjósarhreppur",grunnur!$D$5:$D$31,"9")</f>
        <v>4268.8999999999996</v>
      </c>
      <c r="AF10" s="3">
        <f>SUMIFS(grunnur!AF$5:AF$31,grunnur!$C$5:$C$31,"Kjósarhreppur",grunnur!$D$5:$D$31,"9")</f>
        <v>4315.3999999999996</v>
      </c>
    </row>
    <row r="11" spans="2:33" x14ac:dyDescent="0.25">
      <c r="C11" s="10" t="s">
        <v>21</v>
      </c>
      <c r="D11" s="23" t="s">
        <v>38</v>
      </c>
      <c r="E11" t="s">
        <v>10</v>
      </c>
      <c r="F11" s="1">
        <f>+SUM(F4:F10)</f>
        <v>1546821</v>
      </c>
      <c r="G11" s="1">
        <f t="shared" ref="G11:AF11" si="0">+SUM(G4:G10)</f>
        <v>1553372.3</v>
      </c>
      <c r="H11" s="1">
        <f t="shared" si="0"/>
        <v>1601033.9</v>
      </c>
      <c r="I11" s="1">
        <f t="shared" si="0"/>
        <v>1726896.6</v>
      </c>
      <c r="J11" s="1">
        <f t="shared" si="0"/>
        <v>1804516.0000000002</v>
      </c>
      <c r="K11" s="1">
        <f t="shared" si="0"/>
        <v>1860642.6</v>
      </c>
      <c r="L11" s="1">
        <f t="shared" si="0"/>
        <v>1972029.0999999999</v>
      </c>
      <c r="M11" s="1">
        <f t="shared" si="0"/>
        <v>1944027.1</v>
      </c>
      <c r="N11" s="1">
        <f t="shared" si="0"/>
        <v>2083622.5999999999</v>
      </c>
      <c r="O11" s="1">
        <f t="shared" si="0"/>
        <v>2257050.0000000005</v>
      </c>
      <c r="P11" s="1">
        <f t="shared" si="0"/>
        <v>2301539.7000000002</v>
      </c>
      <c r="Q11" s="1">
        <f t="shared" si="0"/>
        <v>2319794.8000000003</v>
      </c>
      <c r="R11" s="1">
        <f t="shared" si="0"/>
        <v>2390753.7000000007</v>
      </c>
      <c r="S11" s="1">
        <f t="shared" si="0"/>
        <v>2449627.3999999994</v>
      </c>
      <c r="T11" s="1">
        <f t="shared" si="0"/>
        <v>2540586.7999999998</v>
      </c>
      <c r="U11" s="1">
        <f t="shared" si="0"/>
        <v>2562149.1</v>
      </c>
      <c r="V11" s="1">
        <f t="shared" si="0"/>
        <v>2647183.2999999998</v>
      </c>
      <c r="W11" s="1">
        <f t="shared" si="0"/>
        <v>2670078.2999999998</v>
      </c>
      <c r="X11" s="1">
        <f t="shared" si="0"/>
        <v>2672540.4</v>
      </c>
      <c r="Y11" s="1">
        <f t="shared" si="0"/>
        <v>2711757.5999999996</v>
      </c>
      <c r="Z11" s="1">
        <f t="shared" si="0"/>
        <v>2721941.7999999993</v>
      </c>
      <c r="AA11" s="1">
        <f t="shared" si="0"/>
        <v>2763314.1999999997</v>
      </c>
      <c r="AB11" s="1">
        <f t="shared" si="0"/>
        <v>2784211.1999999997</v>
      </c>
      <c r="AC11" s="1">
        <f t="shared" si="0"/>
        <v>2800642.3999999994</v>
      </c>
      <c r="AD11" s="1">
        <f t="shared" si="0"/>
        <v>2815855.5</v>
      </c>
      <c r="AE11" s="1">
        <f t="shared" si="0"/>
        <v>2927523.1</v>
      </c>
      <c r="AF11" s="1">
        <f t="shared" si="0"/>
        <v>2940376.2</v>
      </c>
    </row>
    <row r="12" spans="2:33" x14ac:dyDescent="0.25">
      <c r="AF12" s="11"/>
    </row>
    <row r="13" spans="2:33" s="15" customFormat="1" x14ac:dyDescent="0.25">
      <c r="B13" s="13" t="s">
        <v>22</v>
      </c>
      <c r="C13" s="13"/>
      <c r="D13" s="3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</row>
    <row r="14" spans="2:33" x14ac:dyDescent="0.25">
      <c r="B14" s="7" t="s">
        <v>2</v>
      </c>
      <c r="C14" s="7" t="s">
        <v>18</v>
      </c>
      <c r="D14" s="7" t="s">
        <v>3</v>
      </c>
      <c r="E14" s="9" t="s">
        <v>4</v>
      </c>
      <c r="F14" s="22"/>
      <c r="G14" s="9">
        <v>1995</v>
      </c>
      <c r="H14" s="9">
        <v>1996</v>
      </c>
      <c r="I14" s="9">
        <v>1997</v>
      </c>
      <c r="J14" s="9">
        <v>1998</v>
      </c>
      <c r="K14" s="9">
        <v>1999</v>
      </c>
      <c r="L14" s="9">
        <v>2000</v>
      </c>
      <c r="M14" s="9">
        <v>2001</v>
      </c>
      <c r="N14" s="9">
        <v>2002</v>
      </c>
      <c r="O14" s="9">
        <v>2003</v>
      </c>
      <c r="P14" s="9">
        <v>2004</v>
      </c>
      <c r="Q14" s="9">
        <v>2005</v>
      </c>
      <c r="R14" s="9">
        <v>2006</v>
      </c>
      <c r="S14" s="9">
        <v>2007</v>
      </c>
      <c r="T14" s="9">
        <v>2008</v>
      </c>
      <c r="U14" s="9">
        <v>2009</v>
      </c>
      <c r="V14" s="9">
        <v>2010</v>
      </c>
      <c r="W14" s="9">
        <v>2011</v>
      </c>
      <c r="X14" s="9">
        <v>2012</v>
      </c>
      <c r="Y14" s="9">
        <v>2013</v>
      </c>
      <c r="Z14" s="9">
        <v>2014</v>
      </c>
      <c r="AA14" s="9">
        <v>2015</v>
      </c>
      <c r="AB14" s="9">
        <v>2016</v>
      </c>
      <c r="AC14" s="9">
        <v>2017</v>
      </c>
      <c r="AD14" s="9">
        <v>2018</v>
      </c>
      <c r="AE14" s="9">
        <v>2019</v>
      </c>
      <c r="AF14" s="9">
        <v>2020</v>
      </c>
    </row>
    <row r="15" spans="2:33" x14ac:dyDescent="0.25">
      <c r="B15" s="6" t="s">
        <v>5</v>
      </c>
      <c r="C15" s="10" t="s">
        <v>6</v>
      </c>
      <c r="D15" s="23" t="s">
        <v>38</v>
      </c>
      <c r="E15" t="s">
        <v>10</v>
      </c>
      <c r="F15" s="1"/>
      <c r="G15" s="1">
        <f>+G4-F4</f>
        <v>-5018.6000000000931</v>
      </c>
      <c r="H15" s="1">
        <f t="shared" ref="H15:AF22" si="1">+H4-G4</f>
        <v>34568.800000000047</v>
      </c>
      <c r="I15" s="1">
        <f t="shared" si="1"/>
        <v>31820.100000000093</v>
      </c>
      <c r="J15" s="1">
        <f t="shared" si="1"/>
        <v>46057.300000000047</v>
      </c>
      <c r="K15" s="1">
        <f t="shared" si="1"/>
        <v>41490.199999999953</v>
      </c>
      <c r="L15" s="1">
        <f t="shared" si="1"/>
        <v>90334.09999999986</v>
      </c>
      <c r="M15" s="1">
        <f t="shared" si="1"/>
        <v>-35954</v>
      </c>
      <c r="N15" s="1">
        <f t="shared" si="1"/>
        <v>72134.800000000047</v>
      </c>
      <c r="O15" s="1">
        <f t="shared" si="1"/>
        <v>51896.40000000014</v>
      </c>
      <c r="P15" s="1">
        <f t="shared" si="1"/>
        <v>25354</v>
      </c>
      <c r="Q15" s="1">
        <f t="shared" si="1"/>
        <v>-24962.40000000014</v>
      </c>
      <c r="R15" s="1">
        <f t="shared" si="1"/>
        <v>47171.600000000093</v>
      </c>
      <c r="S15" s="1">
        <f t="shared" si="1"/>
        <v>24144</v>
      </c>
      <c r="T15" s="1">
        <f t="shared" si="1"/>
        <v>76425.199999999953</v>
      </c>
      <c r="U15" s="1">
        <f t="shared" si="1"/>
        <v>19156.699999999953</v>
      </c>
      <c r="V15" s="1">
        <f t="shared" si="1"/>
        <v>71326.90000000014</v>
      </c>
      <c r="W15" s="1">
        <f t="shared" si="1"/>
        <v>9546.0999999998603</v>
      </c>
      <c r="X15" s="1">
        <f t="shared" si="1"/>
        <v>5834.6000000000931</v>
      </c>
      <c r="Y15" s="1">
        <f t="shared" si="1"/>
        <v>13295.300000000047</v>
      </c>
      <c r="Z15" s="1">
        <f t="shared" si="1"/>
        <v>2056.7999999998137</v>
      </c>
      <c r="AA15" s="1">
        <f t="shared" si="1"/>
        <v>35462.800000000047</v>
      </c>
      <c r="AB15" s="1">
        <f t="shared" si="1"/>
        <v>23428</v>
      </c>
      <c r="AC15" s="1">
        <f t="shared" si="1"/>
        <v>-4720.5999999998603</v>
      </c>
      <c r="AD15" s="1">
        <f t="shared" si="1"/>
        <v>11040.199999999953</v>
      </c>
      <c r="AE15" s="1">
        <f t="shared" si="1"/>
        <v>99825.59999999986</v>
      </c>
      <c r="AF15" s="1">
        <f t="shared" si="1"/>
        <v>10004.600000000093</v>
      </c>
    </row>
    <row r="16" spans="2:33" x14ac:dyDescent="0.25">
      <c r="B16" s="10">
        <v>1000</v>
      </c>
      <c r="C16" s="10" t="s">
        <v>11</v>
      </c>
      <c r="D16" s="23" t="s">
        <v>38</v>
      </c>
      <c r="E16" t="s">
        <v>10</v>
      </c>
      <c r="G16" s="1">
        <f t="shared" ref="G16:V22" si="2">+G5-F5</f>
        <v>16538.800000000003</v>
      </c>
      <c r="H16" s="1">
        <f t="shared" si="2"/>
        <v>5310.5</v>
      </c>
      <c r="I16" s="1">
        <f t="shared" si="2"/>
        <v>14706.599999999991</v>
      </c>
      <c r="J16" s="1">
        <f t="shared" si="2"/>
        <v>8456.6000000000058</v>
      </c>
      <c r="K16" s="1">
        <f t="shared" si="2"/>
        <v>3592.1999999999971</v>
      </c>
      <c r="L16" s="1">
        <f t="shared" si="2"/>
        <v>7305</v>
      </c>
      <c r="M16" s="1">
        <f t="shared" si="2"/>
        <v>5689.8000000000029</v>
      </c>
      <c r="N16" s="1">
        <f t="shared" si="2"/>
        <v>42333.499999999985</v>
      </c>
      <c r="O16" s="1">
        <f t="shared" si="2"/>
        <v>-17394.5</v>
      </c>
      <c r="P16" s="1">
        <f t="shared" si="2"/>
        <v>5074.1000000000058</v>
      </c>
      <c r="Q16" s="1">
        <f t="shared" si="2"/>
        <v>5675.8999999999942</v>
      </c>
      <c r="R16" s="1">
        <f t="shared" si="2"/>
        <v>21260.800000000017</v>
      </c>
      <c r="S16" s="1">
        <f t="shared" si="2"/>
        <v>19627.799999999988</v>
      </c>
      <c r="T16" s="1">
        <f t="shared" si="2"/>
        <v>9197</v>
      </c>
      <c r="U16" s="1">
        <f t="shared" si="2"/>
        <v>5452.8999999999942</v>
      </c>
      <c r="V16" s="1">
        <f t="shared" si="2"/>
        <v>393.40000000002328</v>
      </c>
      <c r="W16" s="1">
        <f t="shared" si="1"/>
        <v>377</v>
      </c>
      <c r="X16" s="1">
        <f t="shared" si="1"/>
        <v>-6641</v>
      </c>
      <c r="Y16" s="1">
        <f t="shared" si="1"/>
        <v>56.899999999994179</v>
      </c>
      <c r="Z16" s="1">
        <f t="shared" si="1"/>
        <v>1881.7999999999884</v>
      </c>
      <c r="AA16" s="1">
        <f t="shared" si="1"/>
        <v>-825.10000000000582</v>
      </c>
      <c r="AB16" s="1">
        <f t="shared" si="1"/>
        <v>-852.59999999997672</v>
      </c>
      <c r="AC16" s="1">
        <f t="shared" si="1"/>
        <v>8526.0999999999767</v>
      </c>
      <c r="AD16" s="1">
        <f t="shared" si="1"/>
        <v>2723.7000000000116</v>
      </c>
      <c r="AE16" s="1">
        <f t="shared" si="1"/>
        <v>4442.1000000000058</v>
      </c>
      <c r="AF16" s="1">
        <f t="shared" si="1"/>
        <v>199.10000000000582</v>
      </c>
    </row>
    <row r="17" spans="2:32" x14ac:dyDescent="0.25">
      <c r="B17" s="10">
        <v>1100</v>
      </c>
      <c r="C17" s="10" t="s">
        <v>17</v>
      </c>
      <c r="D17" s="23" t="s">
        <v>38</v>
      </c>
      <c r="E17" t="s">
        <v>10</v>
      </c>
      <c r="G17" s="1">
        <f t="shared" si="2"/>
        <v>-1188.8000000000002</v>
      </c>
      <c r="H17" s="1">
        <f t="shared" si="1"/>
        <v>2584.8000000000002</v>
      </c>
      <c r="I17" s="1">
        <f t="shared" si="1"/>
        <v>-458.20000000000073</v>
      </c>
      <c r="J17" s="1">
        <f t="shared" si="1"/>
        <v>3381.5</v>
      </c>
      <c r="K17" s="1">
        <f t="shared" si="1"/>
        <v>239.80000000000109</v>
      </c>
      <c r="L17" s="1">
        <f t="shared" si="1"/>
        <v>-126.30000000000109</v>
      </c>
      <c r="M17" s="1">
        <f t="shared" si="1"/>
        <v>0</v>
      </c>
      <c r="N17" s="1">
        <f t="shared" si="1"/>
        <v>0</v>
      </c>
      <c r="O17" s="1">
        <f t="shared" si="1"/>
        <v>-30.199999999998909</v>
      </c>
      <c r="P17" s="1">
        <f t="shared" si="1"/>
        <v>-6.8000000000010914</v>
      </c>
      <c r="Q17" s="1">
        <f t="shared" si="1"/>
        <v>0</v>
      </c>
      <c r="R17" s="1">
        <f t="shared" si="1"/>
        <v>6801.1000000000022</v>
      </c>
      <c r="S17" s="1">
        <f t="shared" si="1"/>
        <v>-62.400000000001455</v>
      </c>
      <c r="T17" s="1">
        <f t="shared" si="1"/>
        <v>476.59999999999854</v>
      </c>
      <c r="U17" s="1">
        <f t="shared" si="1"/>
        <v>17.100000000002183</v>
      </c>
      <c r="V17" s="1">
        <f t="shared" si="1"/>
        <v>0</v>
      </c>
      <c r="W17" s="1">
        <f t="shared" si="1"/>
        <v>-64.900000000001455</v>
      </c>
      <c r="X17" s="1">
        <f t="shared" si="1"/>
        <v>0</v>
      </c>
      <c r="Y17" s="1">
        <f t="shared" si="1"/>
        <v>0</v>
      </c>
      <c r="Z17" s="1">
        <f t="shared" si="1"/>
        <v>0</v>
      </c>
      <c r="AA17" s="1">
        <f t="shared" si="1"/>
        <v>458.20000000000073</v>
      </c>
      <c r="AB17" s="1">
        <f t="shared" si="1"/>
        <v>0</v>
      </c>
      <c r="AC17" s="1">
        <f t="shared" si="1"/>
        <v>-65</v>
      </c>
      <c r="AD17" s="1">
        <f t="shared" si="1"/>
        <v>0</v>
      </c>
      <c r="AE17" s="1">
        <f t="shared" si="1"/>
        <v>3321.2000000000007</v>
      </c>
      <c r="AF17" s="1">
        <f t="shared" si="1"/>
        <v>0</v>
      </c>
    </row>
    <row r="18" spans="2:32" x14ac:dyDescent="0.25">
      <c r="B18" s="10">
        <v>1300</v>
      </c>
      <c r="C18" s="10" t="s">
        <v>13</v>
      </c>
      <c r="D18" s="23" t="s">
        <v>38</v>
      </c>
      <c r="E18" t="s">
        <v>10</v>
      </c>
      <c r="G18" s="1">
        <f t="shared" si="2"/>
        <v>1085.7999999999993</v>
      </c>
      <c r="H18" s="1">
        <f t="shared" si="1"/>
        <v>951.40000000000146</v>
      </c>
      <c r="I18" s="1">
        <f t="shared" si="1"/>
        <v>6143.0999999999985</v>
      </c>
      <c r="J18" s="1">
        <f t="shared" si="1"/>
        <v>18.099999999998545</v>
      </c>
      <c r="K18" s="1">
        <f t="shared" si="1"/>
        <v>-742</v>
      </c>
      <c r="L18" s="1">
        <f t="shared" si="1"/>
        <v>1595.5999999999985</v>
      </c>
      <c r="M18" s="1">
        <f t="shared" si="1"/>
        <v>634.70000000000437</v>
      </c>
      <c r="N18" s="1">
        <f t="shared" si="1"/>
        <v>1259</v>
      </c>
      <c r="O18" s="1">
        <f t="shared" si="1"/>
        <v>-324.20000000000437</v>
      </c>
      <c r="P18" s="1">
        <f t="shared" si="1"/>
        <v>7182.2000000000044</v>
      </c>
      <c r="Q18" s="1">
        <f t="shared" si="1"/>
        <v>11928.400000000001</v>
      </c>
      <c r="R18" s="1">
        <f t="shared" si="1"/>
        <v>399.29999999999563</v>
      </c>
      <c r="S18" s="1">
        <f t="shared" si="1"/>
        <v>2973.7999999999956</v>
      </c>
      <c r="T18" s="1">
        <f t="shared" si="1"/>
        <v>2640.4000000000087</v>
      </c>
      <c r="U18" s="1">
        <f t="shared" si="1"/>
        <v>19</v>
      </c>
      <c r="V18" s="1">
        <f t="shared" si="1"/>
        <v>48.30000000000291</v>
      </c>
      <c r="W18" s="1">
        <f t="shared" si="1"/>
        <v>6875.2999999999884</v>
      </c>
      <c r="X18" s="1">
        <f t="shared" si="1"/>
        <v>14.900000000008731</v>
      </c>
      <c r="Y18" s="1">
        <f t="shared" si="1"/>
        <v>14632.5</v>
      </c>
      <c r="Z18" s="1">
        <f t="shared" si="1"/>
        <v>550.59999999999127</v>
      </c>
      <c r="AA18" s="1">
        <f t="shared" si="1"/>
        <v>-43</v>
      </c>
      <c r="AB18" s="1">
        <f t="shared" si="1"/>
        <v>0</v>
      </c>
      <c r="AC18" s="1">
        <f t="shared" si="1"/>
        <v>0</v>
      </c>
      <c r="AD18" s="1">
        <f t="shared" si="1"/>
        <v>4930.5</v>
      </c>
      <c r="AE18" s="1">
        <f t="shared" si="1"/>
        <v>68.400000000008731</v>
      </c>
      <c r="AF18" s="1">
        <f t="shared" si="1"/>
        <v>0</v>
      </c>
    </row>
    <row r="19" spans="2:32" x14ac:dyDescent="0.25">
      <c r="B19" s="10">
        <v>1400</v>
      </c>
      <c r="C19" s="10" t="s">
        <v>14</v>
      </c>
      <c r="D19" s="23" t="s">
        <v>38</v>
      </c>
      <c r="E19" t="s">
        <v>10</v>
      </c>
      <c r="G19" s="1">
        <f t="shared" si="2"/>
        <v>-4046.1999999999971</v>
      </c>
      <c r="H19" s="1">
        <f t="shared" si="1"/>
        <v>828.19999999999709</v>
      </c>
      <c r="I19" s="1">
        <f t="shared" si="1"/>
        <v>69368.999999999985</v>
      </c>
      <c r="J19" s="1">
        <f t="shared" si="1"/>
        <v>9408</v>
      </c>
      <c r="K19" s="1">
        <f t="shared" si="1"/>
        <v>8120.5</v>
      </c>
      <c r="L19" s="1">
        <f t="shared" si="1"/>
        <v>8754.1000000000058</v>
      </c>
      <c r="M19" s="1">
        <f t="shared" si="1"/>
        <v>5302.6000000000058</v>
      </c>
      <c r="N19" s="1">
        <f t="shared" si="1"/>
        <v>12705.799999999988</v>
      </c>
      <c r="O19" s="1">
        <f t="shared" si="1"/>
        <v>131647.79999999999</v>
      </c>
      <c r="P19" s="1">
        <f t="shared" si="1"/>
        <v>5031.6000000000349</v>
      </c>
      <c r="Q19" s="1">
        <f t="shared" si="1"/>
        <v>10879.099999999977</v>
      </c>
      <c r="R19" s="1">
        <f t="shared" si="1"/>
        <v>4904.7000000000116</v>
      </c>
      <c r="S19" s="1">
        <f t="shared" si="1"/>
        <v>10567.5</v>
      </c>
      <c r="T19" s="1">
        <f t="shared" si="1"/>
        <v>2040.5999999999767</v>
      </c>
      <c r="U19" s="1">
        <f t="shared" si="1"/>
        <v>-3910.0999999999767</v>
      </c>
      <c r="V19" s="1">
        <f t="shared" si="1"/>
        <v>8703.4000000000233</v>
      </c>
      <c r="W19" s="1">
        <f t="shared" si="1"/>
        <v>6083.3999999999651</v>
      </c>
      <c r="X19" s="1">
        <f t="shared" si="1"/>
        <v>1687.4000000000233</v>
      </c>
      <c r="Y19" s="1">
        <f t="shared" si="1"/>
        <v>6978.5999999999767</v>
      </c>
      <c r="Z19" s="1">
        <f t="shared" si="1"/>
        <v>3326.2000000000116</v>
      </c>
      <c r="AA19" s="1">
        <f t="shared" si="1"/>
        <v>3298.2000000000116</v>
      </c>
      <c r="AB19" s="1">
        <f t="shared" si="1"/>
        <v>-1588.6000000000349</v>
      </c>
      <c r="AC19" s="1">
        <f t="shared" si="1"/>
        <v>11133.200000000012</v>
      </c>
      <c r="AD19" s="1">
        <f t="shared" si="1"/>
        <v>-7139.5999999999767</v>
      </c>
      <c r="AE19" s="1">
        <f t="shared" si="1"/>
        <v>363.79999999998836</v>
      </c>
      <c r="AF19" s="1">
        <f t="shared" si="1"/>
        <v>1341.7000000000116</v>
      </c>
    </row>
    <row r="20" spans="2:32" x14ac:dyDescent="0.25">
      <c r="B20" s="10">
        <v>1604</v>
      </c>
      <c r="C20" s="10" t="s">
        <v>15</v>
      </c>
      <c r="D20" s="23" t="s">
        <v>38</v>
      </c>
      <c r="E20" t="s">
        <v>10</v>
      </c>
      <c r="G20" s="1">
        <f t="shared" si="2"/>
        <v>-1031.6999999999971</v>
      </c>
      <c r="H20" s="1">
        <f t="shared" si="1"/>
        <v>3373.5</v>
      </c>
      <c r="I20" s="1">
        <f t="shared" si="1"/>
        <v>4438.4000000000015</v>
      </c>
      <c r="J20" s="1">
        <f t="shared" si="1"/>
        <v>9605.0999999999985</v>
      </c>
      <c r="K20" s="1">
        <f t="shared" si="1"/>
        <v>3425.9000000000015</v>
      </c>
      <c r="L20" s="1">
        <f t="shared" si="1"/>
        <v>3599.9000000000015</v>
      </c>
      <c r="M20" s="1">
        <f t="shared" si="1"/>
        <v>-716.70000000000437</v>
      </c>
      <c r="N20" s="1">
        <f t="shared" si="1"/>
        <v>11233.099999999999</v>
      </c>
      <c r="O20" s="1">
        <f t="shared" si="1"/>
        <v>7090.3000000000029</v>
      </c>
      <c r="P20" s="1">
        <f t="shared" si="1"/>
        <v>1774.1000000000058</v>
      </c>
      <c r="Q20" s="1">
        <f t="shared" si="1"/>
        <v>15216.099999999991</v>
      </c>
      <c r="R20" s="1">
        <f t="shared" si="1"/>
        <v>-10230</v>
      </c>
      <c r="S20" s="1">
        <f t="shared" si="1"/>
        <v>1332.1999999999971</v>
      </c>
      <c r="T20" s="1">
        <f t="shared" si="1"/>
        <v>179.60000000000582</v>
      </c>
      <c r="U20" s="1">
        <f t="shared" si="1"/>
        <v>826.69999999999709</v>
      </c>
      <c r="V20" s="1">
        <f t="shared" si="1"/>
        <v>4567.8000000000029</v>
      </c>
      <c r="W20" s="1">
        <f t="shared" si="1"/>
        <v>126.10000000000582</v>
      </c>
      <c r="X20" s="1">
        <f t="shared" si="1"/>
        <v>1566.1999999999971</v>
      </c>
      <c r="Y20" s="1">
        <f t="shared" si="1"/>
        <v>4253.8999999999942</v>
      </c>
      <c r="Z20" s="1">
        <f t="shared" si="1"/>
        <v>2368.8000000000029</v>
      </c>
      <c r="AA20" s="1">
        <f t="shared" si="1"/>
        <v>3021.3000000000029</v>
      </c>
      <c r="AB20" s="1">
        <f t="shared" si="1"/>
        <v>-89.80000000000291</v>
      </c>
      <c r="AC20" s="1">
        <f t="shared" si="1"/>
        <v>1407.3000000000029</v>
      </c>
      <c r="AD20" s="1">
        <f t="shared" si="1"/>
        <v>3683.8999999999942</v>
      </c>
      <c r="AE20" s="1">
        <f t="shared" si="1"/>
        <v>3646.5</v>
      </c>
      <c r="AF20" s="1">
        <f t="shared" si="1"/>
        <v>1261.1999999999971</v>
      </c>
    </row>
    <row r="21" spans="2:32" x14ac:dyDescent="0.25">
      <c r="B21" s="16">
        <v>1606</v>
      </c>
      <c r="C21" s="16" t="s">
        <v>16</v>
      </c>
      <c r="D21" s="24" t="s">
        <v>38</v>
      </c>
      <c r="E21" s="18" t="s">
        <v>10</v>
      </c>
      <c r="F21" s="18"/>
      <c r="G21" s="3">
        <f t="shared" si="2"/>
        <v>212</v>
      </c>
      <c r="H21" s="3">
        <f t="shared" si="1"/>
        <v>44.399999999999636</v>
      </c>
      <c r="I21" s="3">
        <f t="shared" si="1"/>
        <v>-156.29999999999927</v>
      </c>
      <c r="J21" s="3">
        <f t="shared" si="1"/>
        <v>692.79999999999927</v>
      </c>
      <c r="K21" s="3">
        <f t="shared" si="1"/>
        <v>0</v>
      </c>
      <c r="L21" s="3">
        <f t="shared" si="1"/>
        <v>-75.899999999999636</v>
      </c>
      <c r="M21" s="3">
        <f t="shared" si="1"/>
        <v>-2958.4</v>
      </c>
      <c r="N21" s="3">
        <f t="shared" si="1"/>
        <v>-70.699999999999818</v>
      </c>
      <c r="O21" s="3">
        <f t="shared" si="1"/>
        <v>541.79999999999973</v>
      </c>
      <c r="P21" s="3">
        <f t="shared" si="1"/>
        <v>80.5</v>
      </c>
      <c r="Q21" s="3">
        <f t="shared" si="1"/>
        <v>-482</v>
      </c>
      <c r="R21" s="3">
        <f t="shared" si="1"/>
        <v>651.40000000000009</v>
      </c>
      <c r="S21" s="3">
        <f t="shared" si="1"/>
        <v>290.79999999999973</v>
      </c>
      <c r="T21" s="3">
        <f t="shared" si="1"/>
        <v>0</v>
      </c>
      <c r="U21" s="3">
        <f t="shared" si="1"/>
        <v>0</v>
      </c>
      <c r="V21" s="3">
        <f t="shared" si="1"/>
        <v>-5.5999999999994543</v>
      </c>
      <c r="W21" s="3">
        <f t="shared" si="1"/>
        <v>-48</v>
      </c>
      <c r="X21" s="3">
        <f t="shared" si="1"/>
        <v>0</v>
      </c>
      <c r="Y21" s="3">
        <f t="shared" si="1"/>
        <v>0</v>
      </c>
      <c r="Z21" s="3">
        <f t="shared" si="1"/>
        <v>0</v>
      </c>
      <c r="AA21" s="3">
        <f t="shared" si="1"/>
        <v>0</v>
      </c>
      <c r="AB21" s="3">
        <f t="shared" si="1"/>
        <v>0</v>
      </c>
      <c r="AC21" s="3">
        <f t="shared" si="1"/>
        <v>150.19999999999982</v>
      </c>
      <c r="AD21" s="3">
        <f t="shared" si="1"/>
        <v>-25.600000000000364</v>
      </c>
      <c r="AE21" s="3">
        <f t="shared" si="1"/>
        <v>0</v>
      </c>
      <c r="AF21" s="3">
        <f t="shared" si="1"/>
        <v>46.5</v>
      </c>
    </row>
    <row r="22" spans="2:32" x14ac:dyDescent="0.25">
      <c r="C22" s="10" t="s">
        <v>21</v>
      </c>
      <c r="D22" s="23" t="s">
        <v>38</v>
      </c>
      <c r="E22" t="s">
        <v>10</v>
      </c>
      <c r="G22" s="1">
        <f t="shared" si="2"/>
        <v>6551.3000000000466</v>
      </c>
      <c r="H22" s="1">
        <f t="shared" si="1"/>
        <v>47661.59999999986</v>
      </c>
      <c r="I22" s="1">
        <f t="shared" si="1"/>
        <v>125862.70000000019</v>
      </c>
      <c r="J22" s="1">
        <f t="shared" si="1"/>
        <v>77619.40000000014</v>
      </c>
      <c r="K22" s="1">
        <f t="shared" si="1"/>
        <v>56126.59999999986</v>
      </c>
      <c r="L22" s="1">
        <f t="shared" si="1"/>
        <v>111386.49999999977</v>
      </c>
      <c r="M22" s="1">
        <f t="shared" si="1"/>
        <v>-28001.999999999767</v>
      </c>
      <c r="N22" s="1">
        <f t="shared" si="1"/>
        <v>139595.49999999977</v>
      </c>
      <c r="O22" s="1">
        <f t="shared" si="1"/>
        <v>173427.40000000061</v>
      </c>
      <c r="P22" s="1">
        <f t="shared" si="1"/>
        <v>44489.699999999721</v>
      </c>
      <c r="Q22" s="1">
        <f t="shared" si="1"/>
        <v>18255.100000000093</v>
      </c>
      <c r="R22" s="1">
        <f t="shared" si="1"/>
        <v>70958.900000000373</v>
      </c>
      <c r="S22" s="1">
        <f t="shared" si="1"/>
        <v>58873.699999998789</v>
      </c>
      <c r="T22" s="1">
        <f t="shared" si="1"/>
        <v>90959.400000000373</v>
      </c>
      <c r="U22" s="1">
        <f t="shared" si="1"/>
        <v>21562.300000000279</v>
      </c>
      <c r="V22" s="1">
        <f t="shared" si="1"/>
        <v>85034.199999999721</v>
      </c>
      <c r="W22" s="1">
        <f t="shared" si="1"/>
        <v>22895</v>
      </c>
      <c r="X22" s="1">
        <f t="shared" si="1"/>
        <v>2462.1000000000931</v>
      </c>
      <c r="Y22" s="1">
        <f t="shared" si="1"/>
        <v>39217.199999999721</v>
      </c>
      <c r="Z22" s="1">
        <f t="shared" si="1"/>
        <v>10184.199999999721</v>
      </c>
      <c r="AA22" s="1">
        <f t="shared" si="1"/>
        <v>41372.400000000373</v>
      </c>
      <c r="AB22" s="1">
        <f t="shared" si="1"/>
        <v>20897</v>
      </c>
      <c r="AC22" s="1">
        <f t="shared" si="1"/>
        <v>16431.199999999721</v>
      </c>
      <c r="AD22" s="1">
        <f t="shared" si="1"/>
        <v>15213.100000000559</v>
      </c>
      <c r="AE22" s="1">
        <f t="shared" si="1"/>
        <v>111667.60000000009</v>
      </c>
      <c r="AF22" s="1">
        <f t="shared" si="1"/>
        <v>12853.100000000093</v>
      </c>
    </row>
    <row r="23" spans="2:32" x14ac:dyDescent="0.25"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</row>
    <row r="24" spans="2:32" s="15" customFormat="1" x14ac:dyDescent="0.25">
      <c r="B24" s="13" t="s">
        <v>23</v>
      </c>
      <c r="C24" s="13"/>
      <c r="D24" s="3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</row>
    <row r="25" spans="2:32" x14ac:dyDescent="0.25">
      <c r="B25" s="7" t="s">
        <v>2</v>
      </c>
      <c r="C25" s="7" t="s">
        <v>18</v>
      </c>
      <c r="D25" s="7" t="s">
        <v>3</v>
      </c>
      <c r="E25" s="9" t="s">
        <v>4</v>
      </c>
      <c r="F25" s="22"/>
      <c r="G25" s="9">
        <v>1995</v>
      </c>
      <c r="H25" s="9">
        <v>1996</v>
      </c>
      <c r="I25" s="9">
        <v>1997</v>
      </c>
      <c r="J25" s="9">
        <v>1998</v>
      </c>
      <c r="K25" s="9">
        <v>1999</v>
      </c>
      <c r="L25" s="9">
        <v>2000</v>
      </c>
      <c r="M25" s="9">
        <v>2001</v>
      </c>
      <c r="N25" s="9">
        <v>2002</v>
      </c>
      <c r="O25" s="9">
        <v>2003</v>
      </c>
      <c r="P25" s="9">
        <v>2004</v>
      </c>
      <c r="Q25" s="9">
        <v>2005</v>
      </c>
      <c r="R25" s="9">
        <v>2006</v>
      </c>
      <c r="S25" s="9">
        <v>2007</v>
      </c>
      <c r="T25" s="9">
        <v>2008</v>
      </c>
      <c r="U25" s="9">
        <v>2009</v>
      </c>
      <c r="V25" s="9">
        <v>2010</v>
      </c>
      <c r="W25" s="9">
        <v>2011</v>
      </c>
      <c r="X25" s="9">
        <v>2012</v>
      </c>
      <c r="Y25" s="9">
        <v>2013</v>
      </c>
      <c r="Z25" s="9">
        <v>2014</v>
      </c>
      <c r="AA25" s="9">
        <v>2015</v>
      </c>
      <c r="AB25" s="9">
        <v>2016</v>
      </c>
      <c r="AC25" s="9">
        <v>2017</v>
      </c>
      <c r="AD25" s="9">
        <v>2018</v>
      </c>
      <c r="AE25" s="9">
        <v>2019</v>
      </c>
      <c r="AF25" s="9">
        <v>2020</v>
      </c>
    </row>
    <row r="26" spans="2:32" x14ac:dyDescent="0.25">
      <c r="B26" s="6" t="s">
        <v>5</v>
      </c>
      <c r="C26" s="10" t="s">
        <v>6</v>
      </c>
      <c r="D26" s="23" t="s">
        <v>38</v>
      </c>
      <c r="E26" t="s">
        <v>10</v>
      </c>
      <c r="G26" s="20">
        <f>+IFERROR(G15/F4,0)</f>
        <v>-3.9516162052012837E-3</v>
      </c>
      <c r="H26" s="20">
        <f t="shared" ref="H26:AF32" si="3">+IFERROR(H15/G4,0)</f>
        <v>2.7327257201500064E-2</v>
      </c>
      <c r="I26" s="20">
        <f t="shared" si="3"/>
        <v>2.4485245877419407E-2</v>
      </c>
      <c r="J26" s="20">
        <f t="shared" si="3"/>
        <v>3.4593594942639722E-2</v>
      </c>
      <c r="K26" s="20">
        <f t="shared" si="3"/>
        <v>3.0121248147650142E-2</v>
      </c>
      <c r="L26" s="20">
        <f t="shared" si="3"/>
        <v>6.3663544172516393E-2</v>
      </c>
      <c r="M26" s="20">
        <f t="shared" si="3"/>
        <v>-2.3822208958950122E-2</v>
      </c>
      <c r="N26" s="20">
        <f t="shared" si="3"/>
        <v>4.8961050217608701E-2</v>
      </c>
      <c r="O26" s="20">
        <f t="shared" si="3"/>
        <v>3.358023745527753E-2</v>
      </c>
      <c r="P26" s="20">
        <f t="shared" si="3"/>
        <v>1.5872627330505675E-2</v>
      </c>
      <c r="Q26" s="20">
        <f t="shared" si="3"/>
        <v>-1.5383296590961628E-2</v>
      </c>
      <c r="R26" s="20">
        <f t="shared" si="3"/>
        <v>2.9524087477210734E-2</v>
      </c>
      <c r="S26" s="20">
        <f t="shared" si="3"/>
        <v>1.4678057562376121E-2</v>
      </c>
      <c r="T26" s="20">
        <f t="shared" si="3"/>
        <v>4.5789687452424205E-2</v>
      </c>
      <c r="U26" s="20">
        <f t="shared" si="3"/>
        <v>1.0975073525894236E-2</v>
      </c>
      <c r="V26" s="20">
        <f t="shared" si="3"/>
        <v>4.0420310159035099E-2</v>
      </c>
      <c r="W26" s="20">
        <f t="shared" si="3"/>
        <v>5.1995223635671337E-3</v>
      </c>
      <c r="X26" s="20">
        <f t="shared" si="3"/>
        <v>3.161522559267355E-3</v>
      </c>
      <c r="Y26" s="20">
        <f t="shared" si="3"/>
        <v>7.1814554858654353E-3</v>
      </c>
      <c r="Z26" s="20">
        <f t="shared" si="3"/>
        <v>1.1030588269616225E-3</v>
      </c>
      <c r="AA26" s="20">
        <f t="shared" si="3"/>
        <v>1.8997692118010629E-2</v>
      </c>
      <c r="AB26" s="20">
        <f t="shared" si="3"/>
        <v>1.2316571640121217E-2</v>
      </c>
      <c r="AC26" s="20">
        <f t="shared" si="3"/>
        <v>-2.4515202089426115E-3</v>
      </c>
      <c r="AD26" s="20">
        <f t="shared" si="3"/>
        <v>5.7475294530819569E-3</v>
      </c>
      <c r="AE26" s="20">
        <f t="shared" si="3"/>
        <v>5.1672231739909071E-2</v>
      </c>
      <c r="AF26" s="20">
        <f t="shared" si="3"/>
        <v>4.9241878542770432E-3</v>
      </c>
    </row>
    <row r="27" spans="2:32" x14ac:dyDescent="0.25">
      <c r="B27" s="10">
        <v>1000</v>
      </c>
      <c r="C27" s="10" t="s">
        <v>11</v>
      </c>
      <c r="D27" s="23" t="s">
        <v>38</v>
      </c>
      <c r="E27" t="s">
        <v>10</v>
      </c>
      <c r="G27" s="20">
        <f t="shared" ref="G27:V32" si="4">+IFERROR(G16/F5,0)</f>
        <v>0.23897996988691703</v>
      </c>
      <c r="H27" s="20">
        <f t="shared" si="4"/>
        <v>6.1933929366980542E-2</v>
      </c>
      <c r="I27" s="20">
        <f t="shared" si="4"/>
        <v>0.1615131936596631</v>
      </c>
      <c r="J27" s="20">
        <f t="shared" si="4"/>
        <v>7.9959002171863788E-2</v>
      </c>
      <c r="K27" s="20">
        <f t="shared" si="4"/>
        <v>3.1450301746742834E-2</v>
      </c>
      <c r="L27" s="20">
        <f t="shared" si="4"/>
        <v>6.2006357667610271E-2</v>
      </c>
      <c r="M27" s="20">
        <f t="shared" si="4"/>
        <v>4.5476379825041685E-2</v>
      </c>
      <c r="N27" s="20">
        <f t="shared" si="4"/>
        <v>0.32363749786897</v>
      </c>
      <c r="O27" s="20">
        <f t="shared" si="4"/>
        <v>-0.10046563797369509</v>
      </c>
      <c r="P27" s="20">
        <f t="shared" si="4"/>
        <v>3.2579683494034811E-2</v>
      </c>
      <c r="Q27" s="20">
        <f t="shared" si="4"/>
        <v>3.5293846972734431E-2</v>
      </c>
      <c r="R27" s="20">
        <f t="shared" si="4"/>
        <v>0.12769686409684908</v>
      </c>
      <c r="S27" s="20">
        <f t="shared" si="4"/>
        <v>0.10453937070151484</v>
      </c>
      <c r="T27" s="20">
        <f t="shared" si="4"/>
        <v>4.4347918753185535E-2</v>
      </c>
      <c r="U27" s="20">
        <f t="shared" si="4"/>
        <v>2.5177313314855138E-2</v>
      </c>
      <c r="V27" s="20">
        <f t="shared" si="4"/>
        <v>1.7718102910922319E-3</v>
      </c>
      <c r="W27" s="20">
        <f t="shared" si="3"/>
        <v>1.6949442107089901E-3</v>
      </c>
      <c r="X27" s="20">
        <f t="shared" si="3"/>
        <v>-2.9806573693735097E-2</v>
      </c>
      <c r="Y27" s="20">
        <f t="shared" si="3"/>
        <v>2.6322826100027744E-4</v>
      </c>
      <c r="Z27" s="20">
        <f t="shared" si="3"/>
        <v>8.7032089209509635E-3</v>
      </c>
      <c r="AA27" s="20">
        <f t="shared" si="3"/>
        <v>-3.7831113947718962E-3</v>
      </c>
      <c r="AB27" s="20">
        <f t="shared" si="3"/>
        <v>-3.9240449235486731E-3</v>
      </c>
      <c r="AC27" s="20">
        <f t="shared" si="3"/>
        <v>3.9395499188626615E-2</v>
      </c>
      <c r="AD27" s="20">
        <f t="shared" si="3"/>
        <v>1.2108061683232673E-2</v>
      </c>
      <c r="AE27" s="20">
        <f t="shared" si="3"/>
        <v>1.9510877442648032E-2</v>
      </c>
      <c r="AF27" s="20">
        <f t="shared" si="3"/>
        <v>8.5776410065526029E-4</v>
      </c>
    </row>
    <row r="28" spans="2:32" x14ac:dyDescent="0.25">
      <c r="B28" s="10">
        <v>1100</v>
      </c>
      <c r="C28" s="10" t="s">
        <v>17</v>
      </c>
      <c r="D28" s="23" t="s">
        <v>38</v>
      </c>
      <c r="E28" t="s">
        <v>10</v>
      </c>
      <c r="G28" s="20">
        <f t="shared" si="4"/>
        <v>-0.15662714097496708</v>
      </c>
      <c r="H28" s="20">
        <f t="shared" si="3"/>
        <v>0.40379928763356876</v>
      </c>
      <c r="I28" s="20">
        <f t="shared" si="3"/>
        <v>-5.0990429557088886E-2</v>
      </c>
      <c r="J28" s="20">
        <f t="shared" si="3"/>
        <v>0.3965266540022046</v>
      </c>
      <c r="K28" s="20">
        <f t="shared" si="3"/>
        <v>2.01355243381224E-2</v>
      </c>
      <c r="L28" s="20">
        <f t="shared" si="3"/>
        <v>-1.0395831790009226E-2</v>
      </c>
      <c r="M28" s="20">
        <f t="shared" si="3"/>
        <v>0</v>
      </c>
      <c r="N28" s="20">
        <f t="shared" si="3"/>
        <v>0</v>
      </c>
      <c r="O28" s="20">
        <f t="shared" si="3"/>
        <v>-2.5118940679374948E-3</v>
      </c>
      <c r="P28" s="20">
        <f t="shared" si="3"/>
        <v>-5.6701632673491077E-4</v>
      </c>
      <c r="Q28" s="20">
        <f t="shared" si="3"/>
        <v>0</v>
      </c>
      <c r="R28" s="20">
        <f t="shared" si="3"/>
        <v>0.56742979192043941</v>
      </c>
      <c r="S28" s="20">
        <f t="shared" si="3"/>
        <v>-3.3214633601073859E-3</v>
      </c>
      <c r="T28" s="20">
        <f t="shared" si="3"/>
        <v>2.5453283131725735E-2</v>
      </c>
      <c r="U28" s="20">
        <f t="shared" si="3"/>
        <v>8.9057397753265093E-4</v>
      </c>
      <c r="V28" s="20">
        <f t="shared" si="3"/>
        <v>0</v>
      </c>
      <c r="W28" s="20">
        <f t="shared" si="3"/>
        <v>-3.3770072119137825E-3</v>
      </c>
      <c r="X28" s="20">
        <f t="shared" si="3"/>
        <v>0</v>
      </c>
      <c r="Y28" s="20">
        <f t="shared" si="3"/>
        <v>0</v>
      </c>
      <c r="Z28" s="20">
        <f t="shared" si="3"/>
        <v>0</v>
      </c>
      <c r="AA28" s="20">
        <f t="shared" si="3"/>
        <v>2.3922770488636461E-2</v>
      </c>
      <c r="AB28" s="20">
        <f t="shared" si="3"/>
        <v>0</v>
      </c>
      <c r="AC28" s="20">
        <f t="shared" si="3"/>
        <v>-3.3143818677816585E-3</v>
      </c>
      <c r="AD28" s="20">
        <f t="shared" si="3"/>
        <v>0</v>
      </c>
      <c r="AE28" s="20">
        <f t="shared" si="3"/>
        <v>0.16991277210753847</v>
      </c>
      <c r="AF28" s="20">
        <f t="shared" si="3"/>
        <v>0</v>
      </c>
    </row>
    <row r="29" spans="2:32" x14ac:dyDescent="0.25">
      <c r="B29" s="10">
        <v>1300</v>
      </c>
      <c r="C29" s="10" t="s">
        <v>13</v>
      </c>
      <c r="D29" s="23" t="s">
        <v>38</v>
      </c>
      <c r="E29" t="s">
        <v>10</v>
      </c>
      <c r="G29" s="20">
        <f t="shared" si="4"/>
        <v>3.3284592771069543E-2</v>
      </c>
      <c r="H29" s="20">
        <f t="shared" si="3"/>
        <v>2.8225172439368135E-2</v>
      </c>
      <c r="I29" s="20">
        <f t="shared" si="3"/>
        <v>0.17724451728127547</v>
      </c>
      <c r="J29" s="20">
        <f t="shared" si="3"/>
        <v>4.4360570560263087E-4</v>
      </c>
      <c r="K29" s="20">
        <f t="shared" si="3"/>
        <v>-1.8177319506811597E-2</v>
      </c>
      <c r="L29" s="20">
        <f t="shared" si="3"/>
        <v>3.9812266549561943E-2</v>
      </c>
      <c r="M29" s="20">
        <f t="shared" si="3"/>
        <v>1.5230229137321727E-2</v>
      </c>
      <c r="N29" s="20">
        <f t="shared" si="3"/>
        <v>2.9757684053284925E-2</v>
      </c>
      <c r="O29" s="20">
        <f t="shared" si="3"/>
        <v>-7.4413437570294387E-3</v>
      </c>
      <c r="P29" s="20">
        <f t="shared" si="3"/>
        <v>0.16608854108854121</v>
      </c>
      <c r="Q29" s="20">
        <f t="shared" si="3"/>
        <v>0.23655538676936624</v>
      </c>
      <c r="R29" s="20">
        <f t="shared" si="3"/>
        <v>6.4037797215245199E-3</v>
      </c>
      <c r="S29" s="20">
        <f t="shared" si="3"/>
        <v>4.7388893935120267E-2</v>
      </c>
      <c r="T29" s="20">
        <f t="shared" si="3"/>
        <v>4.0172288667197284E-2</v>
      </c>
      <c r="U29" s="20">
        <f t="shared" si="3"/>
        <v>2.7791063856551305E-4</v>
      </c>
      <c r="V29" s="20">
        <f t="shared" si="3"/>
        <v>7.0628181375513674E-4</v>
      </c>
      <c r="W29" s="20">
        <f t="shared" si="3"/>
        <v>0.10046526172433225</v>
      </c>
      <c r="X29" s="20">
        <f t="shared" si="3"/>
        <v>1.9784915396260958E-4</v>
      </c>
      <c r="Y29" s="20">
        <f t="shared" si="3"/>
        <v>0.19425873019244658</v>
      </c>
      <c r="Z29" s="20">
        <f t="shared" si="3"/>
        <v>6.120681701207031E-3</v>
      </c>
      <c r="AA29" s="20">
        <f t="shared" si="3"/>
        <v>-4.750966490217981E-4</v>
      </c>
      <c r="AB29" s="20">
        <f t="shared" si="3"/>
        <v>0</v>
      </c>
      <c r="AC29" s="20">
        <f t="shared" si="3"/>
        <v>0</v>
      </c>
      <c r="AD29" s="20">
        <f t="shared" si="3"/>
        <v>5.4501801251092968E-2</v>
      </c>
      <c r="AE29" s="20">
        <f t="shared" si="3"/>
        <v>7.1701570515987916E-4</v>
      </c>
      <c r="AF29" s="20">
        <f t="shared" si="3"/>
        <v>0</v>
      </c>
    </row>
    <row r="30" spans="2:32" x14ac:dyDescent="0.25">
      <c r="B30" s="10">
        <v>1400</v>
      </c>
      <c r="C30" s="10" t="s">
        <v>14</v>
      </c>
      <c r="D30" s="23" t="s">
        <v>38</v>
      </c>
      <c r="E30" t="s">
        <v>10</v>
      </c>
      <c r="G30" s="20">
        <f t="shared" si="4"/>
        <v>-3.2887031397190819E-2</v>
      </c>
      <c r="H30" s="20">
        <f t="shared" si="3"/>
        <v>6.9604183982969331E-3</v>
      </c>
      <c r="I30" s="20">
        <f t="shared" si="3"/>
        <v>0.57896612536128511</v>
      </c>
      <c r="J30" s="20">
        <f t="shared" si="3"/>
        <v>4.9729285146811866E-2</v>
      </c>
      <c r="K30" s="20">
        <f t="shared" si="3"/>
        <v>4.0890306421749484E-2</v>
      </c>
      <c r="L30" s="20">
        <f t="shared" si="3"/>
        <v>4.2349094976218242E-2</v>
      </c>
      <c r="M30" s="20">
        <f t="shared" si="3"/>
        <v>2.4609812458433317E-2</v>
      </c>
      <c r="N30" s="20">
        <f t="shared" si="3"/>
        <v>5.7552333995411452E-2</v>
      </c>
      <c r="O30" s="20">
        <f t="shared" si="3"/>
        <v>0.56386178752099259</v>
      </c>
      <c r="P30" s="20">
        <f t="shared" si="3"/>
        <v>1.378055784473794E-2</v>
      </c>
      <c r="Q30" s="20">
        <f t="shared" si="3"/>
        <v>2.9390684489485008E-2</v>
      </c>
      <c r="R30" s="20">
        <f t="shared" si="3"/>
        <v>1.2872086413331341E-2</v>
      </c>
      <c r="S30" s="20">
        <f t="shared" si="3"/>
        <v>2.7381305570706213E-2</v>
      </c>
      <c r="T30" s="20">
        <f t="shared" si="3"/>
        <v>5.146454278119314E-3</v>
      </c>
      <c r="U30" s="20">
        <f t="shared" si="3"/>
        <v>-9.8108978975105475E-3</v>
      </c>
      <c r="V30" s="20">
        <f t="shared" si="3"/>
        <v>2.2054219515934344E-2</v>
      </c>
      <c r="W30" s="20">
        <f t="shared" si="3"/>
        <v>1.5082564358249617E-2</v>
      </c>
      <c r="X30" s="20">
        <f t="shared" si="3"/>
        <v>4.1214068666830233E-3</v>
      </c>
      <c r="Y30" s="20">
        <f t="shared" si="3"/>
        <v>1.6974989947962864E-2</v>
      </c>
      <c r="Z30" s="20">
        <f t="shared" si="3"/>
        <v>7.95571663757004E-3</v>
      </c>
      <c r="AA30" s="20">
        <f t="shared" si="3"/>
        <v>7.8264800416691163E-3</v>
      </c>
      <c r="AB30" s="20">
        <f t="shared" si="3"/>
        <v>-3.7404020637903483E-3</v>
      </c>
      <c r="AC30" s="20">
        <f t="shared" si="3"/>
        <v>2.6311840162637511E-2</v>
      </c>
      <c r="AD30" s="20">
        <f t="shared" si="3"/>
        <v>-1.6440906253259814E-2</v>
      </c>
      <c r="AE30" s="20">
        <f t="shared" si="3"/>
        <v>8.5175385671474549E-4</v>
      </c>
      <c r="AF30" s="20">
        <f t="shared" si="3"/>
        <v>3.1386080131935497E-3</v>
      </c>
    </row>
    <row r="31" spans="2:32" x14ac:dyDescent="0.25">
      <c r="B31" s="10">
        <v>1604</v>
      </c>
      <c r="C31" s="10" t="s">
        <v>15</v>
      </c>
      <c r="D31" s="23" t="s">
        <v>38</v>
      </c>
      <c r="E31" t="s">
        <v>10</v>
      </c>
      <c r="G31" s="20">
        <f t="shared" si="4"/>
        <v>-2.6500936279080445E-2</v>
      </c>
      <c r="H31" s="20">
        <f t="shared" si="3"/>
        <v>8.9012902715111211E-2</v>
      </c>
      <c r="I31" s="20">
        <f t="shared" si="3"/>
        <v>0.10753891816584897</v>
      </c>
      <c r="J31" s="20">
        <f t="shared" si="3"/>
        <v>0.21012712504019826</v>
      </c>
      <c r="K31" s="20">
        <f t="shared" si="3"/>
        <v>6.1933256200737606E-2</v>
      </c>
      <c r="L31" s="20">
        <f t="shared" si="3"/>
        <v>6.1283342894935325E-2</v>
      </c>
      <c r="M31" s="20">
        <f t="shared" si="3"/>
        <v>-1.1496299433125195E-2</v>
      </c>
      <c r="N31" s="20">
        <f t="shared" si="3"/>
        <v>0.18228124579108188</v>
      </c>
      <c r="O31" s="20">
        <f t="shared" si="3"/>
        <v>9.7316431094921413E-2</v>
      </c>
      <c r="P31" s="20">
        <f t="shared" si="3"/>
        <v>2.2190535157007397E-2</v>
      </c>
      <c r="Q31" s="20">
        <f t="shared" si="3"/>
        <v>0.1861920692684764</v>
      </c>
      <c r="R31" s="20">
        <f t="shared" si="3"/>
        <v>-0.10553060851857927</v>
      </c>
      <c r="S31" s="20">
        <f t="shared" si="3"/>
        <v>1.5364086879401918E-2</v>
      </c>
      <c r="T31" s="20">
        <f t="shared" si="3"/>
        <v>2.0399609726843527E-3</v>
      </c>
      <c r="U31" s="20">
        <f t="shared" si="3"/>
        <v>9.370837843811779E-3</v>
      </c>
      <c r="V31" s="20">
        <f t="shared" si="3"/>
        <v>5.1296391127402134E-2</v>
      </c>
      <c r="W31" s="20">
        <f t="shared" si="3"/>
        <v>1.3470063558191083E-3</v>
      </c>
      <c r="X31" s="20">
        <f t="shared" si="3"/>
        <v>1.6707719452833357E-2</v>
      </c>
      <c r="Y31" s="20">
        <f t="shared" si="3"/>
        <v>4.4633517054832046E-2</v>
      </c>
      <c r="Z31" s="20">
        <f t="shared" si="3"/>
        <v>2.3792401055833023E-2</v>
      </c>
      <c r="AA31" s="20">
        <f t="shared" si="3"/>
        <v>2.9640930050034365E-2</v>
      </c>
      <c r="AB31" s="20">
        <f t="shared" si="3"/>
        <v>-8.5563494687538797E-4</v>
      </c>
      <c r="AC31" s="20">
        <f t="shared" si="3"/>
        <v>1.3420559499911815E-2</v>
      </c>
      <c r="AD31" s="20">
        <f t="shared" si="3"/>
        <v>3.4665866180854529E-2</v>
      </c>
      <c r="AE31" s="20">
        <f t="shared" si="3"/>
        <v>3.3164260632071792E-2</v>
      </c>
      <c r="AF31" s="20">
        <f t="shared" si="3"/>
        <v>1.1102190860498993E-2</v>
      </c>
    </row>
    <row r="32" spans="2:32" x14ac:dyDescent="0.25">
      <c r="B32" s="16">
        <v>1606</v>
      </c>
      <c r="C32" s="16" t="s">
        <v>16</v>
      </c>
      <c r="D32" s="24" t="s">
        <v>38</v>
      </c>
      <c r="E32" s="18" t="s">
        <v>10</v>
      </c>
      <c r="F32" s="18"/>
      <c r="G32" s="21">
        <f t="shared" si="4"/>
        <v>3.906034085674804E-2</v>
      </c>
      <c r="H32" s="21">
        <f t="shared" si="3"/>
        <v>7.8730383899281199E-3</v>
      </c>
      <c r="I32" s="21">
        <f t="shared" si="3"/>
        <v>-2.7498724467355035E-2</v>
      </c>
      <c r="J32" s="21">
        <f t="shared" si="3"/>
        <v>0.12533468413054477</v>
      </c>
      <c r="K32" s="21">
        <f t="shared" si="3"/>
        <v>0</v>
      </c>
      <c r="L32" s="21">
        <f t="shared" si="3"/>
        <v>-1.2201787666387956E-2</v>
      </c>
      <c r="M32" s="21">
        <f t="shared" si="3"/>
        <v>-0.48147123443730167</v>
      </c>
      <c r="N32" s="21">
        <f t="shared" si="3"/>
        <v>-2.2190138413734604E-2</v>
      </c>
      <c r="O32" s="21">
        <f t="shared" si="3"/>
        <v>0.1739102522950503</v>
      </c>
      <c r="P32" s="21">
        <f t="shared" si="3"/>
        <v>2.2011374822268403E-2</v>
      </c>
      <c r="Q32" s="21">
        <f t="shared" si="3"/>
        <v>-0.1289563100302325</v>
      </c>
      <c r="R32" s="21">
        <f t="shared" si="3"/>
        <v>0.20007985993795502</v>
      </c>
      <c r="S32" s="21">
        <f t="shared" si="3"/>
        <v>7.442860433569648E-2</v>
      </c>
      <c r="T32" s="21">
        <f t="shared" si="3"/>
        <v>0</v>
      </c>
      <c r="U32" s="21">
        <f t="shared" si="3"/>
        <v>0</v>
      </c>
      <c r="V32" s="21">
        <f t="shared" si="3"/>
        <v>-1.3340003334999535E-3</v>
      </c>
      <c r="W32" s="21">
        <f t="shared" si="3"/>
        <v>-1.1449562292774849E-2</v>
      </c>
      <c r="X32" s="21">
        <f t="shared" si="3"/>
        <v>0</v>
      </c>
      <c r="Y32" s="21">
        <f t="shared" si="3"/>
        <v>0</v>
      </c>
      <c r="Z32" s="21">
        <f t="shared" si="3"/>
        <v>0</v>
      </c>
      <c r="AA32" s="21">
        <f t="shared" si="3"/>
        <v>0</v>
      </c>
      <c r="AB32" s="21">
        <f t="shared" si="3"/>
        <v>0</v>
      </c>
      <c r="AC32" s="21">
        <f t="shared" si="3"/>
        <v>3.6242550008445291E-2</v>
      </c>
      <c r="AD32" s="21">
        <f t="shared" si="3"/>
        <v>-5.9611130515776836E-3</v>
      </c>
      <c r="AE32" s="21">
        <f t="shared" si="3"/>
        <v>0</v>
      </c>
      <c r="AF32" s="21">
        <f t="shared" si="3"/>
        <v>1.0892735833587108E-2</v>
      </c>
    </row>
    <row r="33" spans="2:32" x14ac:dyDescent="0.25">
      <c r="C33" s="10" t="s">
        <v>21</v>
      </c>
      <c r="D33" s="23" t="s">
        <v>38</v>
      </c>
      <c r="E33" t="s">
        <v>10</v>
      </c>
      <c r="G33" s="20">
        <f t="shared" ref="G33:AF33" si="5">+G22/F11</f>
        <v>4.2353316899628639E-3</v>
      </c>
      <c r="H33" s="20">
        <f t="shared" si="5"/>
        <v>3.0682663776095312E-2</v>
      </c>
      <c r="I33" s="20">
        <f t="shared" si="5"/>
        <v>7.8613388511011656E-2</v>
      </c>
      <c r="J33" s="20">
        <f t="shared" si="5"/>
        <v>4.4947335005465952E-2</v>
      </c>
      <c r="K33" s="20">
        <f t="shared" si="5"/>
        <v>3.1103409446078534E-2</v>
      </c>
      <c r="L33" s="20">
        <f t="shared" si="5"/>
        <v>5.9864532823229871E-2</v>
      </c>
      <c r="M33" s="20">
        <f t="shared" si="5"/>
        <v>-1.4199587622718026E-2</v>
      </c>
      <c r="N33" s="20">
        <f t="shared" si="5"/>
        <v>7.1807383755092588E-2</v>
      </c>
      <c r="O33" s="20">
        <f t="shared" si="5"/>
        <v>8.323359518177649E-2</v>
      </c>
      <c r="P33" s="20">
        <f t="shared" si="5"/>
        <v>1.971143749584622E-2</v>
      </c>
      <c r="Q33" s="20">
        <f t="shared" si="5"/>
        <v>7.9316902506613683E-3</v>
      </c>
      <c r="R33" s="20">
        <f t="shared" si="5"/>
        <v>3.058843825324566E-2</v>
      </c>
      <c r="S33" s="20">
        <f t="shared" si="5"/>
        <v>2.462558146412103E-2</v>
      </c>
      <c r="T33" s="20">
        <f t="shared" si="5"/>
        <v>3.7131932799249548E-2</v>
      </c>
      <c r="U33" s="20">
        <f t="shared" si="5"/>
        <v>8.4871337598070966E-3</v>
      </c>
      <c r="V33" s="20">
        <f t="shared" si="5"/>
        <v>3.3188622785457617E-2</v>
      </c>
      <c r="W33" s="20">
        <f t="shared" si="5"/>
        <v>8.6488155164774587E-3</v>
      </c>
      <c r="X33" s="20">
        <f t="shared" si="5"/>
        <v>9.2210778987271392E-4</v>
      </c>
      <c r="Y33" s="20">
        <f t="shared" si="5"/>
        <v>1.4674128031890452E-2</v>
      </c>
      <c r="Z33" s="20">
        <f t="shared" si="5"/>
        <v>3.7555716631898521E-3</v>
      </c>
      <c r="AA33" s="20">
        <f t="shared" si="5"/>
        <v>1.5199590233707563E-2</v>
      </c>
      <c r="AB33" s="20">
        <f t="shared" si="5"/>
        <v>7.5622960284429481E-3</v>
      </c>
      <c r="AC33" s="20">
        <f t="shared" si="5"/>
        <v>5.9015637894135773E-3</v>
      </c>
      <c r="AD33" s="20">
        <f t="shared" si="5"/>
        <v>5.4320037431414168E-3</v>
      </c>
      <c r="AE33" s="20">
        <f t="shared" si="5"/>
        <v>3.9656722441900903E-2</v>
      </c>
      <c r="AF33" s="20">
        <f t="shared" si="5"/>
        <v>4.3904350404613693E-3</v>
      </c>
    </row>
    <row r="35" spans="2:32" x14ac:dyDescent="0.25">
      <c r="B35" s="13" t="s">
        <v>31</v>
      </c>
      <c r="C35" s="13"/>
      <c r="D35" s="32"/>
      <c r="E35" s="2"/>
      <c r="F35" s="2"/>
      <c r="G35" s="2"/>
      <c r="H35" s="2"/>
      <c r="I35" s="2"/>
      <c r="J35" s="2"/>
    </row>
    <row r="36" spans="2:32" x14ac:dyDescent="0.25">
      <c r="B36" s="7" t="s">
        <v>2</v>
      </c>
      <c r="C36" s="7" t="s">
        <v>18</v>
      </c>
      <c r="D36" s="7" t="s">
        <v>3</v>
      </c>
      <c r="E36" s="9" t="s">
        <v>4</v>
      </c>
      <c r="F36" s="22" t="s">
        <v>24</v>
      </c>
      <c r="G36" s="22" t="s">
        <v>25</v>
      </c>
      <c r="H36" s="22" t="s">
        <v>26</v>
      </c>
      <c r="I36" s="22" t="s">
        <v>28</v>
      </c>
      <c r="J36" s="22" t="s">
        <v>27</v>
      </c>
    </row>
    <row r="37" spans="2:32" x14ac:dyDescent="0.25">
      <c r="B37" s="6" t="s">
        <v>5</v>
      </c>
      <c r="C37" s="10" t="s">
        <v>6</v>
      </c>
      <c r="D37" s="23" t="s">
        <v>38</v>
      </c>
      <c r="E37" t="s">
        <v>10</v>
      </c>
      <c r="F37" s="1">
        <f>+AVERAGE(G15:AF15)</f>
        <v>29681.48076923077</v>
      </c>
      <c r="G37" s="1">
        <f>+AVERAGE(Q15:AF15)</f>
        <v>26189.712499999994</v>
      </c>
      <c r="H37" s="1">
        <f>+AVERAGE(X15:AF15)</f>
        <v>21803.03333333334</v>
      </c>
      <c r="I37" s="1">
        <f>+AVERAGE(N15:P15)</f>
        <v>49795.066666666731</v>
      </c>
      <c r="J37" s="1">
        <f t="shared" ref="J37:J44" si="6">+AVERAGE(U15:Y15)</f>
        <v>23831.92000000002</v>
      </c>
    </row>
    <row r="38" spans="2:32" x14ac:dyDescent="0.25">
      <c r="B38" s="10">
        <v>1000</v>
      </c>
      <c r="C38" s="10" t="s">
        <v>11</v>
      </c>
      <c r="D38" s="23" t="s">
        <v>38</v>
      </c>
      <c r="E38" t="s">
        <v>10</v>
      </c>
      <c r="F38" s="1">
        <f t="shared" ref="F38:F44" si="7">+AVERAGE(G16:AF16)</f>
        <v>6273.4</v>
      </c>
      <c r="G38" s="1">
        <f t="shared" ref="G38:G44" si="8">+AVERAGE(Q16:AF16)</f>
        <v>4468.4875000000011</v>
      </c>
      <c r="H38" s="1">
        <f t="shared" ref="H38:H44" si="9">+AVERAGE(X16:AF16)</f>
        <v>1056.7777777777778</v>
      </c>
      <c r="I38" s="1">
        <f t="shared" ref="I38:I44" si="10">+AVERAGE(N16:P16)</f>
        <v>10004.366666666663</v>
      </c>
      <c r="J38" s="1">
        <f t="shared" si="6"/>
        <v>-72.159999999997666</v>
      </c>
    </row>
    <row r="39" spans="2:32" x14ac:dyDescent="0.25">
      <c r="B39" s="10">
        <v>1100</v>
      </c>
      <c r="C39" s="10" t="s">
        <v>17</v>
      </c>
      <c r="D39" s="23" t="s">
        <v>38</v>
      </c>
      <c r="E39" t="s">
        <v>10</v>
      </c>
      <c r="F39" s="1">
        <f t="shared" si="7"/>
        <v>587.60384615384623</v>
      </c>
      <c r="G39" s="1">
        <f t="shared" si="8"/>
        <v>680.11875000000009</v>
      </c>
      <c r="H39" s="1">
        <f t="shared" si="9"/>
        <v>412.71111111111128</v>
      </c>
      <c r="I39" s="1">
        <f t="shared" si="10"/>
        <v>-12.333333333333334</v>
      </c>
      <c r="J39" s="1">
        <f t="shared" si="6"/>
        <v>-9.5599999999998548</v>
      </c>
    </row>
    <row r="40" spans="2:32" x14ac:dyDescent="0.25">
      <c r="B40" s="10">
        <v>1300</v>
      </c>
      <c r="C40" s="10" t="s">
        <v>13</v>
      </c>
      <c r="D40" s="23" t="s">
        <v>38</v>
      </c>
      <c r="E40" t="s">
        <v>10</v>
      </c>
      <c r="F40" s="1">
        <f t="shared" si="7"/>
        <v>2417.0038461538466</v>
      </c>
      <c r="G40" s="1">
        <f t="shared" si="8"/>
        <v>2814.9</v>
      </c>
      <c r="H40" s="1">
        <f t="shared" si="9"/>
        <v>2239.322222222223</v>
      </c>
      <c r="I40" s="1">
        <f t="shared" si="10"/>
        <v>2705.6666666666665</v>
      </c>
      <c r="J40" s="1">
        <f t="shared" si="6"/>
        <v>4318</v>
      </c>
    </row>
    <row r="41" spans="2:32" x14ac:dyDescent="0.25">
      <c r="B41" s="10">
        <v>1400</v>
      </c>
      <c r="C41" s="10" t="s">
        <v>14</v>
      </c>
      <c r="D41" s="23" t="s">
        <v>38</v>
      </c>
      <c r="E41" t="s">
        <v>10</v>
      </c>
      <c r="F41" s="1">
        <f t="shared" si="7"/>
        <v>11761.188461538462</v>
      </c>
      <c r="G41" s="1">
        <f t="shared" si="8"/>
        <v>3666.84375</v>
      </c>
      <c r="H41" s="1">
        <f t="shared" si="9"/>
        <v>2155.6555555555583</v>
      </c>
      <c r="I41" s="1">
        <f t="shared" si="10"/>
        <v>49795.066666666673</v>
      </c>
      <c r="J41" s="1">
        <f t="shared" si="6"/>
        <v>3908.5400000000022</v>
      </c>
    </row>
    <row r="42" spans="2:32" x14ac:dyDescent="0.25">
      <c r="B42" s="10">
        <v>1604</v>
      </c>
      <c r="C42" s="10" t="s">
        <v>15</v>
      </c>
      <c r="D42" s="23" t="s">
        <v>38</v>
      </c>
      <c r="E42" t="s">
        <v>10</v>
      </c>
      <c r="F42" s="1">
        <f t="shared" si="7"/>
        <v>2920.373076923077</v>
      </c>
      <c r="G42" s="1">
        <f t="shared" si="8"/>
        <v>2071.1124999999993</v>
      </c>
      <c r="H42" s="1">
        <f t="shared" si="9"/>
        <v>2346.5888888888876</v>
      </c>
      <c r="I42" s="1">
        <f t="shared" si="10"/>
        <v>6699.1666666666688</v>
      </c>
      <c r="J42" s="1">
        <f t="shared" si="6"/>
        <v>2268.1399999999994</v>
      </c>
    </row>
    <row r="43" spans="2:32" x14ac:dyDescent="0.25">
      <c r="B43" s="16">
        <v>1606</v>
      </c>
      <c r="C43" s="16" t="s">
        <v>16</v>
      </c>
      <c r="D43" s="24" t="s">
        <v>38</v>
      </c>
      <c r="E43" s="18" t="s">
        <v>10</v>
      </c>
      <c r="F43" s="3">
        <f t="shared" si="7"/>
        <v>-42.773076923076935</v>
      </c>
      <c r="G43" s="3">
        <f t="shared" si="8"/>
        <v>36.106249999999989</v>
      </c>
      <c r="H43" s="3">
        <f t="shared" si="9"/>
        <v>19.011111111111049</v>
      </c>
      <c r="I43" s="3">
        <f t="shared" si="10"/>
        <v>183.86666666666665</v>
      </c>
      <c r="J43" s="3">
        <f t="shared" si="6"/>
        <v>-10.719999999999891</v>
      </c>
    </row>
    <row r="44" spans="2:32" x14ac:dyDescent="0.25">
      <c r="C44" s="10" t="s">
        <v>21</v>
      </c>
      <c r="D44" s="23" t="s">
        <v>38</v>
      </c>
      <c r="E44" t="s">
        <v>10</v>
      </c>
      <c r="F44" s="1">
        <f t="shared" si="7"/>
        <v>53598.276923076934</v>
      </c>
      <c r="G44" s="1">
        <f t="shared" si="8"/>
        <v>39927.28125</v>
      </c>
      <c r="H44" s="1">
        <f t="shared" si="9"/>
        <v>30033.100000000042</v>
      </c>
      <c r="I44" s="1">
        <f t="shared" si="10"/>
        <v>119170.8666666667</v>
      </c>
      <c r="J44" s="1">
        <f t="shared" si="6"/>
        <v>34234.15999999996</v>
      </c>
    </row>
    <row r="45" spans="2:32" x14ac:dyDescent="0.25">
      <c r="C45" s="10" t="s">
        <v>33</v>
      </c>
      <c r="F45" s="19">
        <f>+F37/F44</f>
        <v>0.55377677181355989</v>
      </c>
      <c r="G45" s="19">
        <f t="shared" ref="G45:J45" si="11">+G37/G44</f>
        <v>0.65593528234532605</v>
      </c>
      <c r="H45" s="19">
        <f t="shared" si="11"/>
        <v>0.72596679441460621</v>
      </c>
      <c r="I45" s="19">
        <f t="shared" si="11"/>
        <v>0.41784597242167171</v>
      </c>
      <c r="J45" s="19">
        <f t="shared" si="11"/>
        <v>0.69614443585004127</v>
      </c>
    </row>
    <row r="47" spans="2:32" x14ac:dyDescent="0.25">
      <c r="B47" s="13" t="s">
        <v>29</v>
      </c>
      <c r="C47" s="13"/>
      <c r="D47" s="32"/>
      <c r="E47" s="2"/>
      <c r="F47" s="2"/>
      <c r="G47" s="2"/>
      <c r="H47" s="2"/>
      <c r="I47" s="2"/>
      <c r="J47" s="2"/>
    </row>
    <row r="48" spans="2:32" x14ac:dyDescent="0.25">
      <c r="B48" s="7" t="s">
        <v>2</v>
      </c>
      <c r="C48" s="7" t="s">
        <v>18</v>
      </c>
      <c r="D48" s="7" t="s">
        <v>3</v>
      </c>
      <c r="E48" s="9" t="s">
        <v>4</v>
      </c>
      <c r="F48" s="22" t="s">
        <v>24</v>
      </c>
      <c r="G48" s="22" t="s">
        <v>25</v>
      </c>
      <c r="H48" s="22" t="s">
        <v>26</v>
      </c>
      <c r="I48" s="22" t="s">
        <v>28</v>
      </c>
      <c r="J48" s="22" t="s">
        <v>27</v>
      </c>
    </row>
    <row r="49" spans="2:11" x14ac:dyDescent="0.25">
      <c r="B49" s="6" t="s">
        <v>5</v>
      </c>
      <c r="C49" s="10" t="s">
        <v>6</v>
      </c>
      <c r="D49" s="23" t="s">
        <v>38</v>
      </c>
      <c r="E49" t="s">
        <v>10</v>
      </c>
      <c r="F49" s="20">
        <f t="shared" ref="F49:F56" si="12">+AVERAGE(G26:AF26)</f>
        <v>1.8641813523040916E-2</v>
      </c>
      <c r="G49" s="20">
        <f>+AVERAGE(Q26:AF26)</f>
        <v>1.4616010713631101E-2</v>
      </c>
      <c r="H49" s="20">
        <f>+AVERAGE(X26:AF26)</f>
        <v>1.1405858829839081E-2</v>
      </c>
      <c r="I49" s="20">
        <f>+AVERAGE(N26:P26)</f>
        <v>3.2804638334463974E-2</v>
      </c>
      <c r="J49" s="20">
        <f t="shared" ref="J49:J56" si="13">+AVERAGE(U26:Y26)</f>
        <v>1.3387576818725853E-2</v>
      </c>
    </row>
    <row r="50" spans="2:11" x14ac:dyDescent="0.25">
      <c r="B50" s="10">
        <v>1000</v>
      </c>
      <c r="C50" s="10" t="s">
        <v>11</v>
      </c>
      <c r="D50" s="23" t="s">
        <v>38</v>
      </c>
      <c r="E50" t="s">
        <v>10</v>
      </c>
      <c r="F50" s="20">
        <f t="shared" si="12"/>
        <v>5.0804525216927972E-2</v>
      </c>
      <c r="G50" s="20">
        <f t="shared" ref="G50:G56" si="14">+AVERAGE(Q27:AF27)</f>
        <v>2.3990436120374901E-2</v>
      </c>
      <c r="H50" s="20">
        <f t="shared" ref="H50:H56" si="15">+AVERAGE(X27:AF27)</f>
        <v>4.8138788427842397E-3</v>
      </c>
      <c r="I50" s="20">
        <f t="shared" ref="I50:I56" si="16">+AVERAGE(N27:P27)</f>
        <v>8.5250514463103236E-2</v>
      </c>
      <c r="J50" s="20">
        <f t="shared" si="13"/>
        <v>-1.7985552321569194E-4</v>
      </c>
    </row>
    <row r="51" spans="2:11" x14ac:dyDescent="0.25">
      <c r="B51" s="10">
        <v>1100</v>
      </c>
      <c r="C51" s="10" t="s">
        <v>17</v>
      </c>
      <c r="D51" s="23" t="s">
        <v>38</v>
      </c>
      <c r="E51" t="s">
        <v>10</v>
      </c>
      <c r="F51" s="20">
        <f t="shared" si="12"/>
        <v>5.2960211247816469E-2</v>
      </c>
      <c r="G51" s="20">
        <f t="shared" si="14"/>
        <v>4.8599771199129366E-2</v>
      </c>
      <c r="H51" s="20">
        <f t="shared" si="15"/>
        <v>2.1169017858710362E-2</v>
      </c>
      <c r="I51" s="20">
        <f t="shared" si="16"/>
        <v>-1.026303464890802E-3</v>
      </c>
      <c r="J51" s="20">
        <f t="shared" si="13"/>
        <v>-4.972866468762263E-4</v>
      </c>
    </row>
    <row r="52" spans="2:11" x14ac:dyDescent="0.25">
      <c r="B52" s="10">
        <v>1300</v>
      </c>
      <c r="C52" s="10" t="s">
        <v>13</v>
      </c>
      <c r="D52" s="23" t="s">
        <v>38</v>
      </c>
      <c r="E52" t="s">
        <v>10</v>
      </c>
      <c r="F52" s="20">
        <f t="shared" si="12"/>
        <v>4.4298412707188185E-2</v>
      </c>
      <c r="G52" s="20">
        <f t="shared" si="14"/>
        <v>4.2955674039044281E-2</v>
      </c>
      <c r="H52" s="20">
        <f t="shared" si="15"/>
        <v>2.8368997928316361E-2</v>
      </c>
      <c r="I52" s="20">
        <f t="shared" si="16"/>
        <v>6.2801627128265564E-2</v>
      </c>
      <c r="J52" s="20">
        <f t="shared" si="13"/>
        <v>5.9181206704612424E-2</v>
      </c>
    </row>
    <row r="53" spans="2:11" x14ac:dyDescent="0.25">
      <c r="B53" s="10">
        <v>1400</v>
      </c>
      <c r="C53" s="10" t="s">
        <v>14</v>
      </c>
      <c r="D53" s="23" t="s">
        <v>38</v>
      </c>
      <c r="E53" t="s">
        <v>10</v>
      </c>
      <c r="F53" s="20">
        <f t="shared" si="12"/>
        <v>5.7497253640940077E-2</v>
      </c>
      <c r="G53" s="20">
        <f t="shared" si="14"/>
        <v>9.3197439961059982E-3</v>
      </c>
      <c r="H53" s="20">
        <f t="shared" si="15"/>
        <v>5.2221652454867429E-3</v>
      </c>
      <c r="I53" s="20">
        <f t="shared" si="16"/>
        <v>0.21173155978704736</v>
      </c>
      <c r="J53" s="20">
        <f t="shared" si="13"/>
        <v>9.6844565582638598E-3</v>
      </c>
    </row>
    <row r="54" spans="2:11" x14ac:dyDescent="0.25">
      <c r="B54" s="10">
        <v>1604</v>
      </c>
      <c r="C54" s="10" t="s">
        <v>15</v>
      </c>
      <c r="D54" s="23" t="s">
        <v>38</v>
      </c>
      <c r="E54" t="s">
        <v>10</v>
      </c>
      <c r="F54" s="20">
        <f t="shared" si="12"/>
        <v>4.4616849042947972E-2</v>
      </c>
      <c r="G54" s="20">
        <f t="shared" si="14"/>
        <v>2.2896972110563185E-2</v>
      </c>
      <c r="H54" s="20">
        <f t="shared" si="15"/>
        <v>2.2919089982221613E-2</v>
      </c>
      <c r="I54" s="20">
        <f t="shared" si="16"/>
        <v>0.10059607068100357</v>
      </c>
      <c r="J54" s="20">
        <f t="shared" si="13"/>
        <v>2.4671094366939685E-2</v>
      </c>
    </row>
    <row r="55" spans="2:11" x14ac:dyDescent="0.25">
      <c r="B55" s="16">
        <v>1606</v>
      </c>
      <c r="C55" s="16" t="s">
        <v>16</v>
      </c>
      <c r="D55" s="24" t="s">
        <v>38</v>
      </c>
      <c r="E55" s="18" t="s">
        <v>10</v>
      </c>
      <c r="F55" s="21">
        <f t="shared" si="12"/>
        <v>-4.7285772409258426E-5</v>
      </c>
      <c r="G55" s="21">
        <f t="shared" si="14"/>
        <v>1.0871422775474931E-2</v>
      </c>
      <c r="H55" s="21">
        <f t="shared" si="15"/>
        <v>4.5749080878283018E-3</v>
      </c>
      <c r="I55" s="21">
        <f t="shared" si="16"/>
        <v>5.7910496234528035E-2</v>
      </c>
      <c r="J55" s="21">
        <f t="shared" si="13"/>
        <v>-2.5567125252549607E-3</v>
      </c>
    </row>
    <row r="56" spans="2:11" x14ac:dyDescent="0.25">
      <c r="C56" s="10" t="s">
        <v>21</v>
      </c>
      <c r="D56" s="23" t="s">
        <v>38</v>
      </c>
      <c r="E56" t="s">
        <v>10</v>
      </c>
      <c r="F56" s="20">
        <f t="shared" si="12"/>
        <v>2.5311389371264689E-2</v>
      </c>
      <c r="G56" s="20">
        <f t="shared" si="14"/>
        <v>1.5506039599440035E-2</v>
      </c>
      <c r="H56" s="20">
        <f t="shared" si="15"/>
        <v>1.0832713195780087E-2</v>
      </c>
      <c r="I56" s="20">
        <f t="shared" si="16"/>
        <v>5.825080547757177E-2</v>
      </c>
      <c r="J56" s="20">
        <f t="shared" si="13"/>
        <v>1.318416157670107E-2</v>
      </c>
    </row>
    <row r="58" spans="2:11" x14ac:dyDescent="0.25">
      <c r="B58" s="13" t="s">
        <v>35</v>
      </c>
      <c r="C58" s="13"/>
      <c r="D58" s="32"/>
      <c r="E58" s="2"/>
      <c r="F58" s="2"/>
      <c r="G58" s="2"/>
      <c r="H58" s="2"/>
      <c r="I58" s="2"/>
      <c r="J58" s="2"/>
      <c r="K58" s="2"/>
    </row>
    <row r="59" spans="2:11" x14ac:dyDescent="0.25">
      <c r="B59" s="7" t="s">
        <v>2</v>
      </c>
      <c r="C59" s="7" t="s">
        <v>18</v>
      </c>
      <c r="D59" s="7" t="s">
        <v>3</v>
      </c>
      <c r="E59" s="9" t="s">
        <v>4</v>
      </c>
      <c r="F59" s="22">
        <v>1995</v>
      </c>
      <c r="G59" s="22">
        <v>2000</v>
      </c>
      <c r="H59" s="22">
        <v>2005</v>
      </c>
      <c r="I59" s="22">
        <v>2010</v>
      </c>
      <c r="J59" s="22">
        <v>2015</v>
      </c>
      <c r="K59" s="22">
        <v>2020</v>
      </c>
    </row>
    <row r="60" spans="2:11" x14ac:dyDescent="0.25">
      <c r="B60" s="6" t="s">
        <v>5</v>
      </c>
      <c r="C60" s="10" t="s">
        <v>6</v>
      </c>
      <c r="D60" s="23" t="s">
        <v>38</v>
      </c>
      <c r="E60" t="s">
        <v>10</v>
      </c>
      <c r="F60" s="1">
        <f>+G4</f>
        <v>1264993.3999999999</v>
      </c>
      <c r="G60" s="1">
        <f>+L4</f>
        <v>1509263.9</v>
      </c>
      <c r="H60" s="1">
        <f>+Q4</f>
        <v>1597732.7</v>
      </c>
      <c r="I60" s="1">
        <f>+V4</f>
        <v>1835957.1</v>
      </c>
      <c r="J60" s="1">
        <f>+AA4</f>
        <v>1902152.7</v>
      </c>
      <c r="K60" s="1">
        <f>+AF4</f>
        <v>2041730.5</v>
      </c>
    </row>
    <row r="61" spans="2:11" x14ac:dyDescent="0.25">
      <c r="B61" s="10">
        <v>1000</v>
      </c>
      <c r="C61" s="10" t="s">
        <v>11</v>
      </c>
      <c r="D61" s="23" t="s">
        <v>38</v>
      </c>
      <c r="E61" t="s">
        <v>10</v>
      </c>
      <c r="F61" s="1">
        <f t="shared" ref="F61:F66" si="17">+G5</f>
        <v>85744.6</v>
      </c>
      <c r="G61" s="1">
        <f t="shared" ref="G61:G66" si="18">+L5</f>
        <v>125115.5</v>
      </c>
      <c r="H61" s="1">
        <f t="shared" ref="H61:H66" si="19">+Q5</f>
        <v>166494.29999999999</v>
      </c>
      <c r="I61" s="1">
        <f t="shared" ref="I61:I66" si="20">+V5</f>
        <v>222426.2</v>
      </c>
      <c r="J61" s="1">
        <f t="shared" ref="J61:J66" si="21">+AA5</f>
        <v>217275.8</v>
      </c>
      <c r="K61" s="1">
        <f t="shared" ref="K61:K66" si="22">+AF5</f>
        <v>232314.2</v>
      </c>
    </row>
    <row r="62" spans="2:11" x14ac:dyDescent="0.25">
      <c r="B62" s="10">
        <v>1100</v>
      </c>
      <c r="C62" s="10" t="s">
        <v>17</v>
      </c>
      <c r="D62" s="23" t="s">
        <v>38</v>
      </c>
      <c r="E62" t="s">
        <v>10</v>
      </c>
      <c r="F62" s="1">
        <f t="shared" si="17"/>
        <v>6401.2</v>
      </c>
      <c r="G62" s="1">
        <f t="shared" si="18"/>
        <v>12022.8</v>
      </c>
      <c r="H62" s="1">
        <f t="shared" si="19"/>
        <v>11985.8</v>
      </c>
      <c r="I62" s="1">
        <f t="shared" si="20"/>
        <v>19218.2</v>
      </c>
      <c r="J62" s="1">
        <f t="shared" si="21"/>
        <v>19611.5</v>
      </c>
      <c r="K62" s="1">
        <f t="shared" si="22"/>
        <v>22867.7</v>
      </c>
    </row>
    <row r="63" spans="2:11" x14ac:dyDescent="0.25">
      <c r="B63" s="10">
        <v>1300</v>
      </c>
      <c r="C63" s="10" t="s">
        <v>13</v>
      </c>
      <c r="D63" s="23" t="s">
        <v>38</v>
      </c>
      <c r="E63" t="s">
        <v>10</v>
      </c>
      <c r="F63" s="1">
        <f t="shared" si="17"/>
        <v>33707.5</v>
      </c>
      <c r="G63" s="1">
        <f t="shared" si="18"/>
        <v>41673.699999999997</v>
      </c>
      <c r="H63" s="1">
        <f t="shared" si="19"/>
        <v>62353.8</v>
      </c>
      <c r="I63" s="1">
        <f t="shared" si="20"/>
        <v>68434.600000000006</v>
      </c>
      <c r="J63" s="1">
        <f t="shared" si="21"/>
        <v>90464.9</v>
      </c>
      <c r="K63" s="1">
        <f t="shared" si="22"/>
        <v>95463.8</v>
      </c>
    </row>
    <row r="64" spans="2:11" x14ac:dyDescent="0.25">
      <c r="B64" s="10">
        <v>1400</v>
      </c>
      <c r="C64" s="10" t="s">
        <v>14</v>
      </c>
      <c r="D64" s="23" t="s">
        <v>38</v>
      </c>
      <c r="E64" t="s">
        <v>10</v>
      </c>
      <c r="F64" s="1">
        <f t="shared" si="17"/>
        <v>118987.1</v>
      </c>
      <c r="G64" s="1">
        <f t="shared" si="18"/>
        <v>215466.9</v>
      </c>
      <c r="H64" s="1">
        <f t="shared" si="19"/>
        <v>381033.8</v>
      </c>
      <c r="I64" s="1">
        <f t="shared" si="20"/>
        <v>403339.9</v>
      </c>
      <c r="J64" s="1">
        <f t="shared" si="21"/>
        <v>424713.7</v>
      </c>
      <c r="K64" s="1">
        <f t="shared" si="22"/>
        <v>428824.2</v>
      </c>
    </row>
    <row r="65" spans="2:11" x14ac:dyDescent="0.25">
      <c r="B65" s="10">
        <v>1604</v>
      </c>
      <c r="C65" s="10" t="s">
        <v>15</v>
      </c>
      <c r="D65" s="23" t="s">
        <v>38</v>
      </c>
      <c r="E65" t="s">
        <v>10</v>
      </c>
      <c r="F65" s="1">
        <f t="shared" si="17"/>
        <v>37899</v>
      </c>
      <c r="G65" s="1">
        <f t="shared" si="18"/>
        <v>62341.8</v>
      </c>
      <c r="H65" s="1">
        <f t="shared" si="19"/>
        <v>96938.7</v>
      </c>
      <c r="I65" s="1">
        <f t="shared" si="20"/>
        <v>93615</v>
      </c>
      <c r="J65" s="1">
        <f t="shared" si="21"/>
        <v>104951.3</v>
      </c>
      <c r="K65" s="1">
        <f t="shared" si="22"/>
        <v>114860.4</v>
      </c>
    </row>
    <row r="66" spans="2:11" x14ac:dyDescent="0.25">
      <c r="B66" s="16">
        <v>1606</v>
      </c>
      <c r="C66" s="16" t="s">
        <v>16</v>
      </c>
      <c r="D66" s="24" t="s">
        <v>38</v>
      </c>
      <c r="E66" s="18" t="s">
        <v>10</v>
      </c>
      <c r="F66" s="3">
        <f t="shared" si="17"/>
        <v>5639.5</v>
      </c>
      <c r="G66" s="3">
        <f t="shared" si="18"/>
        <v>6144.5</v>
      </c>
      <c r="H66" s="3">
        <f t="shared" si="19"/>
        <v>3255.7</v>
      </c>
      <c r="I66" s="3">
        <f t="shared" si="20"/>
        <v>4192.3</v>
      </c>
      <c r="J66" s="3">
        <f t="shared" si="21"/>
        <v>4144.3</v>
      </c>
      <c r="K66" s="3">
        <f t="shared" si="22"/>
        <v>4315.3999999999996</v>
      </c>
    </row>
    <row r="67" spans="2:11" x14ac:dyDescent="0.25">
      <c r="C67" s="10" t="s">
        <v>21</v>
      </c>
      <c r="D67" s="23" t="s">
        <v>38</v>
      </c>
      <c r="E67" t="s">
        <v>10</v>
      </c>
      <c r="F67" s="1">
        <f>+SUM(F60:F66)</f>
        <v>1553372.3</v>
      </c>
      <c r="G67" s="1">
        <f t="shared" ref="G67:K67" si="23">+SUM(G60:G66)</f>
        <v>1972029.0999999999</v>
      </c>
      <c r="H67" s="1">
        <f t="shared" si="23"/>
        <v>2319794.8000000003</v>
      </c>
      <c r="I67" s="1">
        <f t="shared" si="23"/>
        <v>2647183.2999999998</v>
      </c>
      <c r="J67" s="1">
        <f t="shared" si="23"/>
        <v>2763314.1999999997</v>
      </c>
      <c r="K67" s="1">
        <f t="shared" si="23"/>
        <v>2940376.2</v>
      </c>
    </row>
    <row r="68" spans="2:11" x14ac:dyDescent="0.25">
      <c r="B68" s="27"/>
      <c r="C68" s="27" t="s">
        <v>37</v>
      </c>
      <c r="D68" s="33"/>
      <c r="E68" s="29"/>
      <c r="F68" s="29"/>
      <c r="G68" s="30">
        <f>+(G67-F67)/F67</f>
        <v>0.26951478406045981</v>
      </c>
      <c r="H68" s="30">
        <f t="shared" ref="H68:K68" si="24">+(H67-G67)/G67</f>
        <v>0.17634917253503027</v>
      </c>
      <c r="I68" s="30">
        <f t="shared" si="24"/>
        <v>0.14112821530593977</v>
      </c>
      <c r="J68" s="30">
        <f t="shared" si="24"/>
        <v>4.3869610389276753E-2</v>
      </c>
      <c r="K68" s="30">
        <f t="shared" si="24"/>
        <v>6.4075956328093445E-2</v>
      </c>
    </row>
    <row r="70" spans="2:11" x14ac:dyDescent="0.25">
      <c r="B70" s="13" t="s">
        <v>36</v>
      </c>
      <c r="C70" s="13"/>
      <c r="D70" s="32"/>
      <c r="E70" s="2"/>
      <c r="F70" s="2"/>
      <c r="G70" s="2"/>
      <c r="H70" s="2"/>
      <c r="I70" s="2"/>
      <c r="J70" s="2"/>
      <c r="K70" s="2"/>
    </row>
    <row r="71" spans="2:11" x14ac:dyDescent="0.25">
      <c r="B71" s="7" t="s">
        <v>2</v>
      </c>
      <c r="C71" s="7" t="s">
        <v>18</v>
      </c>
      <c r="D71" s="7" t="s">
        <v>3</v>
      </c>
      <c r="E71" s="9" t="s">
        <v>4</v>
      </c>
      <c r="F71" s="22">
        <v>1995</v>
      </c>
      <c r="G71" s="22">
        <v>2000</v>
      </c>
      <c r="H71" s="22">
        <v>2005</v>
      </c>
      <c r="I71" s="22">
        <v>2010</v>
      </c>
      <c r="J71" s="22">
        <v>2015</v>
      </c>
      <c r="K71" s="22">
        <v>2020</v>
      </c>
    </row>
    <row r="72" spans="2:11" x14ac:dyDescent="0.25">
      <c r="B72" s="6" t="s">
        <v>5</v>
      </c>
      <c r="C72" s="10" t="s">
        <v>6</v>
      </c>
      <c r="D72" s="23" t="s">
        <v>38</v>
      </c>
      <c r="E72" t="s">
        <v>10</v>
      </c>
      <c r="F72" s="19">
        <f>+F60/F$67</f>
        <v>0.8143530047497306</v>
      </c>
      <c r="G72" s="19">
        <f t="shared" ref="G72:K72" si="25">+G60/G$67</f>
        <v>0.76533551152972334</v>
      </c>
      <c r="H72" s="19">
        <f t="shared" si="25"/>
        <v>0.68873880569091706</v>
      </c>
      <c r="I72" s="19">
        <f t="shared" si="25"/>
        <v>0.69355117947442479</v>
      </c>
      <c r="J72" s="19">
        <f t="shared" si="25"/>
        <v>0.68835918116007222</v>
      </c>
      <c r="K72" s="19">
        <f t="shared" si="25"/>
        <v>0.69437730450953861</v>
      </c>
    </row>
    <row r="73" spans="2:11" x14ac:dyDescent="0.25">
      <c r="B73" s="10">
        <v>1000</v>
      </c>
      <c r="C73" s="10" t="s">
        <v>11</v>
      </c>
      <c r="D73" s="23" t="s">
        <v>38</v>
      </c>
      <c r="E73" t="s">
        <v>10</v>
      </c>
      <c r="F73" s="19">
        <f t="shared" ref="F73:K78" si="26">+F61/F$67</f>
        <v>5.5199001552943876E-2</v>
      </c>
      <c r="G73" s="19">
        <f t="shared" si="26"/>
        <v>6.3445057681958142E-2</v>
      </c>
      <c r="H73" s="19">
        <f t="shared" si="26"/>
        <v>7.1771132515686287E-2</v>
      </c>
      <c r="I73" s="19">
        <f t="shared" si="26"/>
        <v>8.4023724386596138E-2</v>
      </c>
      <c r="J73" s="19">
        <f t="shared" si="26"/>
        <v>7.8628698828385135E-2</v>
      </c>
      <c r="K73" s="19">
        <f t="shared" si="26"/>
        <v>7.9008325533311011E-2</v>
      </c>
    </row>
    <row r="74" spans="2:11" x14ac:dyDescent="0.25">
      <c r="B74" s="10">
        <v>1100</v>
      </c>
      <c r="C74" s="10" t="s">
        <v>17</v>
      </c>
      <c r="D74" s="23" t="s">
        <v>38</v>
      </c>
      <c r="E74" t="s">
        <v>10</v>
      </c>
      <c r="F74" s="19">
        <f t="shared" si="26"/>
        <v>4.1208408312675589E-3</v>
      </c>
      <c r="G74" s="19">
        <f t="shared" si="26"/>
        <v>6.0966645979007106E-3</v>
      </c>
      <c r="H74" s="19">
        <f t="shared" si="26"/>
        <v>5.1667500935858625E-3</v>
      </c>
      <c r="I74" s="19">
        <f t="shared" si="26"/>
        <v>7.2598674976530721E-3</v>
      </c>
      <c r="J74" s="19">
        <f t="shared" si="26"/>
        <v>7.0970937723983767E-3</v>
      </c>
      <c r="K74" s="19">
        <f t="shared" si="26"/>
        <v>7.7771340959704406E-3</v>
      </c>
    </row>
    <row r="75" spans="2:11" x14ac:dyDescent="0.25">
      <c r="B75" s="10">
        <v>1300</v>
      </c>
      <c r="C75" s="10" t="s">
        <v>13</v>
      </c>
      <c r="D75" s="23" t="s">
        <v>38</v>
      </c>
      <c r="E75" t="s">
        <v>10</v>
      </c>
      <c r="F75" s="19">
        <f t="shared" si="26"/>
        <v>2.1699562944440299E-2</v>
      </c>
      <c r="G75" s="19">
        <f t="shared" si="26"/>
        <v>2.1132396068597566E-2</v>
      </c>
      <c r="H75" s="19">
        <f t="shared" si="26"/>
        <v>2.6879015333597607E-2</v>
      </c>
      <c r="I75" s="19">
        <f t="shared" si="26"/>
        <v>2.5851855441971099E-2</v>
      </c>
      <c r="J75" s="19">
        <f t="shared" si="26"/>
        <v>3.2737826194357486E-2</v>
      </c>
      <c r="K75" s="19">
        <f t="shared" si="26"/>
        <v>3.2466525881960272E-2</v>
      </c>
    </row>
    <row r="76" spans="2:11" x14ac:dyDescent="0.25">
      <c r="B76" s="10">
        <v>1400</v>
      </c>
      <c r="C76" s="10" t="s">
        <v>14</v>
      </c>
      <c r="D76" s="23" t="s">
        <v>38</v>
      </c>
      <c r="E76" t="s">
        <v>10</v>
      </c>
      <c r="F76" s="19">
        <f t="shared" si="26"/>
        <v>7.6599215783621222E-2</v>
      </c>
      <c r="G76" s="19">
        <f t="shared" si="26"/>
        <v>0.10926152154651268</v>
      </c>
      <c r="H76" s="19">
        <f t="shared" si="26"/>
        <v>0.1642532348119756</v>
      </c>
      <c r="I76" s="19">
        <f t="shared" si="26"/>
        <v>0.15236568619936522</v>
      </c>
      <c r="J76" s="19">
        <f t="shared" si="26"/>
        <v>0.15369721619061635</v>
      </c>
      <c r="K76" s="19">
        <f t="shared" si="26"/>
        <v>0.14583990987275711</v>
      </c>
    </row>
    <row r="77" spans="2:11" x14ac:dyDescent="0.25">
      <c r="B77" s="10">
        <v>1604</v>
      </c>
      <c r="C77" s="10" t="s">
        <v>15</v>
      </c>
      <c r="D77" s="23" t="s">
        <v>38</v>
      </c>
      <c r="E77" t="s">
        <v>10</v>
      </c>
      <c r="F77" s="19">
        <f t="shared" si="26"/>
        <v>2.439788581269281E-2</v>
      </c>
      <c r="G77" s="19">
        <f t="shared" si="26"/>
        <v>3.1613022343331548E-2</v>
      </c>
      <c r="H77" s="19">
        <f t="shared" si="26"/>
        <v>4.1787618456597966E-2</v>
      </c>
      <c r="I77" s="19">
        <f t="shared" si="26"/>
        <v>3.5364003694039622E-2</v>
      </c>
      <c r="J77" s="19">
        <f t="shared" si="26"/>
        <v>3.7980226787095006E-2</v>
      </c>
      <c r="K77" s="19">
        <f t="shared" si="26"/>
        <v>3.9063164774629851E-2</v>
      </c>
    </row>
    <row r="78" spans="2:11" x14ac:dyDescent="0.25">
      <c r="B78" s="16">
        <v>1606</v>
      </c>
      <c r="C78" s="16" t="s">
        <v>16</v>
      </c>
      <c r="D78" s="24" t="s">
        <v>38</v>
      </c>
      <c r="E78" s="18" t="s">
        <v>10</v>
      </c>
      <c r="F78" s="25">
        <f t="shared" si="26"/>
        <v>3.630488325303599E-3</v>
      </c>
      <c r="G78" s="25">
        <f t="shared" si="26"/>
        <v>3.1158262319759887E-3</v>
      </c>
      <c r="H78" s="25">
        <f t="shared" si="26"/>
        <v>1.4034430976394979E-3</v>
      </c>
      <c r="I78" s="25">
        <f t="shared" si="26"/>
        <v>1.5836833059501398E-3</v>
      </c>
      <c r="J78" s="25">
        <f t="shared" si="26"/>
        <v>1.4997570670754706E-3</v>
      </c>
      <c r="K78" s="25">
        <f t="shared" si="26"/>
        <v>1.4676353318327088E-3</v>
      </c>
    </row>
  </sheetData>
  <phoneticPr fontId="5" type="noConversion"/>
  <conditionalFormatting sqref="M26:AF32">
    <cfRule type="colorScale" priority="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G26:AF32">
    <cfRule type="colorScale" priority="8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33:AF33">
    <cfRule type="colorScale" priority="7">
      <colorScale>
        <cfvo type="min"/>
        <cfvo type="max"/>
        <color rgb="FFFCFCFF"/>
        <color rgb="FF63BE7B"/>
      </colorScale>
    </cfRule>
  </conditionalFormatting>
  <conditionalFormatting sqref="G26:AF33">
    <cfRule type="colorScale" priority="3">
      <colorScale>
        <cfvo type="min"/>
        <cfvo type="percentile" val="50"/>
        <cfvo type="max"/>
        <color rgb="FFF8696B"/>
        <color rgb="FFFCFCFF"/>
        <color rgb="FF63BE7B"/>
      </colorScale>
    </cfRule>
  </conditionalFormatting>
  <conditionalFormatting sqref="G15:AF21">
    <cfRule type="colorScale" priority="2">
      <colorScale>
        <cfvo type="min"/>
        <cfvo type="percentile" val="50"/>
        <cfvo type="max"/>
        <color rgb="FFF8696B"/>
        <color rgb="FFFCFCFF"/>
        <color rgb="FF63BE7B"/>
      </colorScale>
    </cfRule>
    <cfRule type="colorScale" priority="6">
      <colorScale>
        <cfvo type="min"/>
        <cfvo type="max"/>
        <color rgb="FFFCFCFF"/>
        <color rgb="FF63BE7B"/>
      </colorScale>
    </cfRule>
  </conditionalFormatting>
  <conditionalFormatting sqref="F37:J45">
    <cfRule type="colorScale" priority="5">
      <colorScale>
        <cfvo type="min"/>
        <cfvo type="max"/>
        <color rgb="FFFCFCFF"/>
        <color rgb="FF63BE7B"/>
      </colorScale>
    </cfRule>
  </conditionalFormatting>
  <conditionalFormatting sqref="F49:J56">
    <cfRule type="colorScale" priority="4">
      <colorScale>
        <cfvo type="min"/>
        <cfvo type="max"/>
        <color rgb="FFFCFCFF"/>
        <color rgb="FF63BE7B"/>
      </colorScale>
    </cfRule>
  </conditionalFormatting>
  <conditionalFormatting sqref="G15:AF22">
    <cfRule type="colorScale" priority="1">
      <colorScale>
        <cfvo type="min"/>
        <cfvo type="percentile" val="50"/>
        <cfvo type="max"/>
        <color rgb="FFF8696B"/>
        <color rgb="FFFCFCFF"/>
        <color rgb="FF63BE7B"/>
      </colorScale>
    </cfRule>
  </conditionalFormatting>
  <pageMargins left="0.7" right="0.7" top="0.75" bottom="0.75" header="0.3" footer="0.3"/>
  <pageSetup paperSize="9" orientation="portrait" r:id="rId1"/>
  <ignoredErrors>
    <ignoredError sqref="D4:D11 D37:D44 D26:D33 D15:D22 D49:D56 D60:D67 D72:D78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0A8242-C1ED-4A2E-975F-8626872AF9CA}">
  <dimension ref="B1:AF31"/>
  <sheetViews>
    <sheetView workbookViewId="0">
      <selection activeCell="I19" sqref="I19"/>
    </sheetView>
  </sheetViews>
  <sheetFormatPr defaultRowHeight="15" x14ac:dyDescent="0.25"/>
  <sheetData>
    <row r="1" spans="2:32" ht="15.75" x14ac:dyDescent="0.25">
      <c r="B1" s="4" t="s">
        <v>0</v>
      </c>
      <c r="C1" s="4"/>
      <c r="D1" s="5"/>
    </row>
    <row r="2" spans="2:32" x14ac:dyDescent="0.25">
      <c r="B2" s="6" t="s">
        <v>1</v>
      </c>
      <c r="C2" s="6"/>
      <c r="D2" s="5"/>
    </row>
    <row r="3" spans="2:32" x14ac:dyDescent="0.25">
      <c r="B3" s="10"/>
      <c r="C3" s="10"/>
      <c r="D3" s="5"/>
    </row>
    <row r="4" spans="2:32" x14ac:dyDescent="0.25">
      <c r="B4" s="7" t="s">
        <v>2</v>
      </c>
      <c r="C4" s="7"/>
      <c r="D4" s="8" t="s">
        <v>3</v>
      </c>
      <c r="E4" s="9" t="s">
        <v>4</v>
      </c>
      <c r="F4" s="9">
        <v>1994</v>
      </c>
      <c r="G4" s="9">
        <v>1995</v>
      </c>
      <c r="H4" s="9">
        <v>1996</v>
      </c>
      <c r="I4" s="9">
        <v>1997</v>
      </c>
      <c r="J4" s="9">
        <v>1998</v>
      </c>
      <c r="K4" s="9">
        <v>1999</v>
      </c>
      <c r="L4" s="9">
        <v>2000</v>
      </c>
      <c r="M4" s="9">
        <v>2001</v>
      </c>
      <c r="N4" s="9">
        <v>2002</v>
      </c>
      <c r="O4" s="9">
        <v>2003</v>
      </c>
      <c r="P4" s="9">
        <v>2004</v>
      </c>
      <c r="Q4" s="9">
        <v>2005</v>
      </c>
      <c r="R4" s="9">
        <v>2006</v>
      </c>
      <c r="S4" s="9">
        <v>2007</v>
      </c>
      <c r="T4" s="9">
        <v>2008</v>
      </c>
      <c r="U4" s="9">
        <v>2009</v>
      </c>
      <c r="V4" s="9">
        <v>2010</v>
      </c>
      <c r="W4" s="9">
        <v>2011</v>
      </c>
      <c r="X4" s="9">
        <v>2012</v>
      </c>
      <c r="Y4" s="9">
        <v>2013</v>
      </c>
      <c r="Z4" s="9">
        <v>2014</v>
      </c>
      <c r="AA4" s="9">
        <v>2015</v>
      </c>
      <c r="AB4" s="9">
        <v>2016</v>
      </c>
      <c r="AC4" s="9">
        <v>2017</v>
      </c>
      <c r="AD4" s="9">
        <v>2018</v>
      </c>
      <c r="AE4" s="9">
        <v>2019</v>
      </c>
      <c r="AF4" s="9">
        <v>2020</v>
      </c>
    </row>
    <row r="5" spans="2:32" x14ac:dyDescent="0.25">
      <c r="B5" s="6" t="s">
        <v>5</v>
      </c>
      <c r="C5" s="6" t="s">
        <v>6</v>
      </c>
      <c r="D5" s="5">
        <v>6</v>
      </c>
      <c r="E5" t="s">
        <v>7</v>
      </c>
      <c r="F5">
        <v>994174.5</v>
      </c>
      <c r="G5">
        <v>1034237.5</v>
      </c>
      <c r="H5" s="1">
        <v>1038450</v>
      </c>
      <c r="I5" s="1">
        <v>1027868.3</v>
      </c>
      <c r="J5" s="1">
        <v>1035518.7</v>
      </c>
      <c r="K5" s="1">
        <v>1111084.8</v>
      </c>
      <c r="L5" s="1">
        <v>1124568.6000000001</v>
      </c>
      <c r="M5" s="1">
        <v>1153071.3999999999</v>
      </c>
      <c r="N5" s="1">
        <v>1237169.8999999999</v>
      </c>
      <c r="O5" s="1">
        <v>1256650.7</v>
      </c>
      <c r="P5" s="1">
        <v>1264248</v>
      </c>
      <c r="Q5">
        <v>1275458.1000000001</v>
      </c>
      <c r="R5">
        <v>1341603.5</v>
      </c>
      <c r="S5">
        <v>1434176.6</v>
      </c>
      <c r="T5">
        <v>1507976.6</v>
      </c>
      <c r="U5">
        <v>1513114.7</v>
      </c>
      <c r="V5">
        <v>1514038.5</v>
      </c>
      <c r="W5">
        <v>1517520.8</v>
      </c>
      <c r="X5">
        <v>1525668.4</v>
      </c>
      <c r="Y5">
        <v>1518501.3</v>
      </c>
      <c r="Z5">
        <v>1535338.3</v>
      </c>
      <c r="AA5">
        <v>1555925.6</v>
      </c>
      <c r="AB5">
        <v>1570309.7</v>
      </c>
      <c r="AC5">
        <v>1595969.8</v>
      </c>
      <c r="AD5">
        <v>1646858.9</v>
      </c>
      <c r="AE5">
        <v>1652983.1</v>
      </c>
      <c r="AF5">
        <v>1672381.9</v>
      </c>
    </row>
    <row r="6" spans="2:32" x14ac:dyDescent="0.25">
      <c r="B6" s="6" t="s">
        <v>5</v>
      </c>
      <c r="C6" s="6" t="s">
        <v>6</v>
      </c>
      <c r="D6" s="5">
        <v>7</v>
      </c>
      <c r="E6" t="s">
        <v>8</v>
      </c>
      <c r="F6">
        <v>645499.19999999995</v>
      </c>
      <c r="G6">
        <v>659089.1</v>
      </c>
      <c r="H6" s="1">
        <v>647903.69999999995</v>
      </c>
      <c r="I6" s="1">
        <v>650569</v>
      </c>
      <c r="J6" s="1">
        <v>663652.9</v>
      </c>
      <c r="K6" s="1">
        <v>670797.80000000005</v>
      </c>
      <c r="L6" s="1">
        <v>699074.7</v>
      </c>
      <c r="M6" s="1">
        <v>696156.8</v>
      </c>
      <c r="N6" s="1">
        <v>709622.8</v>
      </c>
      <c r="O6" s="1">
        <v>707562.3</v>
      </c>
      <c r="P6" s="1">
        <v>696623.4</v>
      </c>
      <c r="Q6">
        <v>710389.6</v>
      </c>
      <c r="R6">
        <v>705168.9</v>
      </c>
      <c r="S6">
        <v>701799.4</v>
      </c>
      <c r="T6">
        <v>718270.7</v>
      </c>
      <c r="U6">
        <v>731575.8</v>
      </c>
      <c r="V6">
        <v>732325.8</v>
      </c>
      <c r="W6">
        <v>729887</v>
      </c>
      <c r="X6">
        <v>733402.1</v>
      </c>
      <c r="Y6">
        <v>719967</v>
      </c>
      <c r="Z6">
        <v>700046.4</v>
      </c>
      <c r="AA6">
        <v>708394.8</v>
      </c>
      <c r="AB6">
        <v>705325.4</v>
      </c>
      <c r="AC6">
        <v>710602.3</v>
      </c>
      <c r="AD6">
        <v>731820.2</v>
      </c>
      <c r="AE6">
        <v>743195.7</v>
      </c>
      <c r="AF6">
        <v>740711.1</v>
      </c>
    </row>
    <row r="7" spans="2:32" x14ac:dyDescent="0.25">
      <c r="B7" s="6" t="s">
        <v>5</v>
      </c>
      <c r="C7" s="6" t="s">
        <v>6</v>
      </c>
      <c r="D7" s="5">
        <v>8</v>
      </c>
      <c r="E7" t="s">
        <v>9</v>
      </c>
      <c r="F7">
        <v>325636.7</v>
      </c>
      <c r="G7">
        <v>313152.59999999998</v>
      </c>
      <c r="H7" s="1">
        <v>316702.7</v>
      </c>
      <c r="I7" s="1">
        <v>322592.90000000002</v>
      </c>
      <c r="J7" s="1">
        <v>336846.6</v>
      </c>
      <c r="K7" s="1">
        <v>332115.40000000002</v>
      </c>
      <c r="L7" s="1">
        <v>324571.5</v>
      </c>
      <c r="M7" s="1">
        <v>340218.3</v>
      </c>
      <c r="N7" s="1">
        <v>334389</v>
      </c>
      <c r="O7" s="1">
        <v>396534.7</v>
      </c>
      <c r="P7" s="1">
        <v>396352</v>
      </c>
      <c r="Q7">
        <v>406479.7</v>
      </c>
      <c r="R7">
        <v>410505.8</v>
      </c>
      <c r="S7">
        <v>417080.1</v>
      </c>
      <c r="T7">
        <v>433510</v>
      </c>
      <c r="U7">
        <v>434093.5</v>
      </c>
      <c r="V7">
        <v>434967</v>
      </c>
      <c r="W7">
        <v>429183.2</v>
      </c>
      <c r="X7">
        <v>429236.6</v>
      </c>
      <c r="Y7">
        <v>435936.5</v>
      </c>
      <c r="Z7">
        <v>434320.6</v>
      </c>
      <c r="AA7">
        <v>444094.2</v>
      </c>
      <c r="AB7">
        <v>443426.2</v>
      </c>
      <c r="AC7">
        <v>444631.7</v>
      </c>
      <c r="AD7">
        <v>444482.3</v>
      </c>
      <c r="AE7">
        <v>443025.7</v>
      </c>
      <c r="AF7">
        <v>417081.7</v>
      </c>
    </row>
    <row r="8" spans="2:32" x14ac:dyDescent="0.25">
      <c r="B8" s="6" t="s">
        <v>5</v>
      </c>
      <c r="C8" s="6" t="s">
        <v>6</v>
      </c>
      <c r="D8" s="5">
        <v>9</v>
      </c>
      <c r="E8" t="s">
        <v>10</v>
      </c>
      <c r="F8">
        <v>1270012</v>
      </c>
      <c r="G8">
        <v>1264993.3999999999</v>
      </c>
      <c r="H8" s="1">
        <v>1299562.2</v>
      </c>
      <c r="I8" s="1">
        <v>1331382.3</v>
      </c>
      <c r="J8" s="1">
        <v>1377439.6</v>
      </c>
      <c r="K8" s="1">
        <v>1418929.8</v>
      </c>
      <c r="L8" s="1">
        <v>1509263.9</v>
      </c>
      <c r="M8" s="1">
        <v>1473309.9</v>
      </c>
      <c r="N8" s="1">
        <v>1545444.7</v>
      </c>
      <c r="O8" s="1">
        <v>1597341.1</v>
      </c>
      <c r="P8" s="1">
        <v>1622695.1</v>
      </c>
      <c r="Q8">
        <v>1597732.7</v>
      </c>
      <c r="R8">
        <v>1644904.3</v>
      </c>
      <c r="S8">
        <v>1669048.3</v>
      </c>
      <c r="T8">
        <v>1745473.5</v>
      </c>
      <c r="U8">
        <v>1764630.2</v>
      </c>
      <c r="V8">
        <v>1835957.1</v>
      </c>
      <c r="W8">
        <v>1845503.2</v>
      </c>
      <c r="X8">
        <v>1851337.8</v>
      </c>
      <c r="Y8">
        <v>1864633.1</v>
      </c>
      <c r="Z8">
        <v>1866689.9</v>
      </c>
      <c r="AA8">
        <v>1902152.7</v>
      </c>
      <c r="AB8">
        <v>1925580.7</v>
      </c>
      <c r="AC8">
        <v>1920860.1</v>
      </c>
      <c r="AD8">
        <v>1931900.3</v>
      </c>
      <c r="AE8">
        <v>2031725.9</v>
      </c>
      <c r="AF8">
        <v>2041730.5</v>
      </c>
    </row>
    <row r="9" spans="2:32" x14ac:dyDescent="0.25">
      <c r="B9" s="10">
        <v>1000</v>
      </c>
      <c r="C9" s="10" t="s">
        <v>11</v>
      </c>
      <c r="D9" s="5">
        <v>6</v>
      </c>
      <c r="E9" t="s">
        <v>7</v>
      </c>
      <c r="F9">
        <v>54217.3</v>
      </c>
      <c r="G9">
        <v>58244.3</v>
      </c>
      <c r="H9" s="1">
        <v>64152.800000000003</v>
      </c>
      <c r="I9" s="1">
        <v>71224.5</v>
      </c>
      <c r="J9" s="1">
        <v>111914.6</v>
      </c>
      <c r="K9" s="1">
        <v>123579.3</v>
      </c>
      <c r="L9" s="1">
        <v>133835.4</v>
      </c>
      <c r="M9" s="1">
        <v>208637.2</v>
      </c>
      <c r="N9" s="1">
        <v>206103.8</v>
      </c>
      <c r="O9" s="1">
        <v>216046.7</v>
      </c>
      <c r="P9" s="1">
        <v>222324.1</v>
      </c>
      <c r="Q9">
        <v>229116.4</v>
      </c>
      <c r="R9">
        <v>296104.5</v>
      </c>
      <c r="S9">
        <v>338493.1</v>
      </c>
      <c r="T9">
        <v>365415.1</v>
      </c>
      <c r="U9">
        <v>364675.7</v>
      </c>
      <c r="V9">
        <v>365202.6</v>
      </c>
      <c r="W9">
        <v>368005.2</v>
      </c>
      <c r="X9">
        <v>362243.4</v>
      </c>
      <c r="Y9">
        <v>365646.9</v>
      </c>
      <c r="Z9">
        <v>364367</v>
      </c>
      <c r="AA9">
        <v>364405.5</v>
      </c>
      <c r="AB9">
        <v>382918.8</v>
      </c>
      <c r="AC9">
        <v>378172.2</v>
      </c>
      <c r="AD9">
        <v>375142.7</v>
      </c>
      <c r="AE9">
        <v>374894.1</v>
      </c>
      <c r="AF9">
        <v>380497.7</v>
      </c>
    </row>
    <row r="10" spans="2:32" x14ac:dyDescent="0.25">
      <c r="B10" s="10">
        <v>1000</v>
      </c>
      <c r="C10" s="10" t="s">
        <v>11</v>
      </c>
      <c r="D10" s="5">
        <v>7</v>
      </c>
      <c r="E10" t="s">
        <v>8</v>
      </c>
      <c r="F10">
        <v>137457.60000000001</v>
      </c>
      <c r="G10">
        <v>147199.6</v>
      </c>
      <c r="H10" s="1">
        <v>152714.29999999999</v>
      </c>
      <c r="I10" s="1">
        <v>158810.29999999999</v>
      </c>
      <c r="J10" s="1">
        <v>182822.6</v>
      </c>
      <c r="K10" s="1">
        <v>199610.8</v>
      </c>
      <c r="L10" s="1">
        <v>211286.9</v>
      </c>
      <c r="M10" s="1">
        <v>214262.7</v>
      </c>
      <c r="N10" s="1">
        <v>215253</v>
      </c>
      <c r="O10" s="1">
        <v>222508</v>
      </c>
      <c r="P10" s="1">
        <v>226236.6</v>
      </c>
      <c r="Q10">
        <v>242855.6</v>
      </c>
      <c r="R10">
        <v>245560.9</v>
      </c>
      <c r="S10">
        <v>245590.5</v>
      </c>
      <c r="T10">
        <v>246475.3</v>
      </c>
      <c r="U10">
        <v>245572.6</v>
      </c>
      <c r="V10">
        <v>245988.5</v>
      </c>
      <c r="W10">
        <v>244388.7</v>
      </c>
      <c r="X10">
        <v>244169</v>
      </c>
      <c r="Y10">
        <v>245130.6</v>
      </c>
      <c r="Z10">
        <v>245513.4</v>
      </c>
      <c r="AA10">
        <v>245281.2</v>
      </c>
      <c r="AB10">
        <v>244762.5</v>
      </c>
      <c r="AC10">
        <v>252091</v>
      </c>
      <c r="AD10">
        <v>247093.1</v>
      </c>
      <c r="AE10">
        <v>250511.7</v>
      </c>
      <c r="AF10">
        <v>251909.1</v>
      </c>
    </row>
    <row r="11" spans="2:32" x14ac:dyDescent="0.25">
      <c r="B11" s="10">
        <v>1000</v>
      </c>
      <c r="C11" s="10" t="s">
        <v>11</v>
      </c>
      <c r="D11" s="5">
        <v>8</v>
      </c>
      <c r="E11" t="s">
        <v>9</v>
      </c>
      <c r="F11" s="1">
        <v>28769</v>
      </c>
      <c r="G11" s="1">
        <v>28769</v>
      </c>
      <c r="H11" s="1">
        <v>29578.9</v>
      </c>
      <c r="I11" s="1">
        <v>29733</v>
      </c>
      <c r="J11" s="1">
        <v>30810.6</v>
      </c>
      <c r="K11" s="1">
        <v>31347.200000000001</v>
      </c>
      <c r="L11" s="1">
        <v>29951.5</v>
      </c>
      <c r="M11" s="1">
        <v>29516.5</v>
      </c>
      <c r="N11" s="1">
        <v>27994</v>
      </c>
      <c r="O11" s="1">
        <v>27497.5</v>
      </c>
      <c r="P11" s="1">
        <v>27221.200000000001</v>
      </c>
      <c r="Q11" s="1">
        <v>26135.200000000001</v>
      </c>
      <c r="R11" s="1">
        <v>25963.599999999999</v>
      </c>
      <c r="S11" s="1">
        <v>43710</v>
      </c>
      <c r="T11" s="1">
        <v>44179.6</v>
      </c>
      <c r="U11" s="1">
        <v>44345.3</v>
      </c>
      <c r="V11" s="1">
        <v>44345.3</v>
      </c>
      <c r="W11" s="1">
        <v>46346.8</v>
      </c>
      <c r="X11" s="1">
        <v>46346.8</v>
      </c>
      <c r="Y11" s="1">
        <v>46346.8</v>
      </c>
      <c r="Z11" s="1">
        <v>46442</v>
      </c>
      <c r="AA11" s="1">
        <v>45613</v>
      </c>
      <c r="AB11" s="1">
        <v>28261</v>
      </c>
      <c r="AC11" s="1">
        <v>28568.3</v>
      </c>
      <c r="AD11" s="1">
        <v>28256.3</v>
      </c>
      <c r="AE11" s="1">
        <v>28256.3</v>
      </c>
      <c r="AF11" s="1">
        <v>28256.3</v>
      </c>
    </row>
    <row r="12" spans="2:32" x14ac:dyDescent="0.25">
      <c r="B12" s="10">
        <v>1000</v>
      </c>
      <c r="C12" s="10" t="s">
        <v>11</v>
      </c>
      <c r="D12" s="5">
        <v>9</v>
      </c>
      <c r="E12" t="s">
        <v>10</v>
      </c>
      <c r="F12" s="1">
        <v>69205.8</v>
      </c>
      <c r="G12" s="1">
        <v>85744.6</v>
      </c>
      <c r="H12" s="1">
        <v>91055.1</v>
      </c>
      <c r="I12" s="1">
        <v>105761.7</v>
      </c>
      <c r="J12" s="1">
        <v>114218.3</v>
      </c>
      <c r="K12" s="1">
        <v>117810.5</v>
      </c>
      <c r="L12" s="1">
        <v>125115.5</v>
      </c>
      <c r="M12" s="1">
        <v>130805.3</v>
      </c>
      <c r="N12" s="1">
        <v>173138.8</v>
      </c>
      <c r="O12" s="1">
        <v>155744.29999999999</v>
      </c>
      <c r="P12" s="1">
        <v>160818.4</v>
      </c>
      <c r="Q12" s="1">
        <v>166494.29999999999</v>
      </c>
      <c r="R12" s="1">
        <v>187755.1</v>
      </c>
      <c r="S12" s="1">
        <v>207382.9</v>
      </c>
      <c r="T12" s="1">
        <v>216579.9</v>
      </c>
      <c r="U12" s="1">
        <v>222032.8</v>
      </c>
      <c r="V12" s="1">
        <v>222426.2</v>
      </c>
      <c r="W12" s="1">
        <v>222803.20000000001</v>
      </c>
      <c r="X12" s="1">
        <v>216162.2</v>
      </c>
      <c r="Y12" s="1">
        <v>216219.1</v>
      </c>
      <c r="Z12" s="1">
        <v>218100.9</v>
      </c>
      <c r="AA12" s="1">
        <v>217275.8</v>
      </c>
      <c r="AB12" s="1">
        <v>216423.2</v>
      </c>
      <c r="AC12" s="1">
        <v>224949.3</v>
      </c>
      <c r="AD12" s="1">
        <v>227673</v>
      </c>
      <c r="AE12" s="1">
        <v>232115.1</v>
      </c>
      <c r="AF12" s="1">
        <v>232314.2</v>
      </c>
    </row>
    <row r="13" spans="2:32" x14ac:dyDescent="0.25">
      <c r="B13" s="10">
        <v>1100</v>
      </c>
      <c r="C13" s="10" t="s">
        <v>12</v>
      </c>
      <c r="D13" s="5">
        <v>6</v>
      </c>
      <c r="E13" t="s">
        <v>7</v>
      </c>
      <c r="F13" s="1">
        <v>6724.6</v>
      </c>
      <c r="G13" s="1">
        <v>10306.5</v>
      </c>
      <c r="H13" s="1">
        <v>10401.9</v>
      </c>
      <c r="I13" s="1">
        <v>10401.9</v>
      </c>
      <c r="J13" s="1">
        <v>10401.9</v>
      </c>
      <c r="K13" s="1">
        <v>10440.5</v>
      </c>
      <c r="L13" s="1">
        <v>11771.9</v>
      </c>
      <c r="M13" s="1">
        <v>11771.9</v>
      </c>
      <c r="N13" s="1">
        <v>11771.9</v>
      </c>
      <c r="O13" s="1">
        <v>11578.5</v>
      </c>
      <c r="P13" s="1">
        <v>11578.5</v>
      </c>
      <c r="Q13" s="1">
        <v>11459.8</v>
      </c>
      <c r="R13" s="1">
        <v>11037.4</v>
      </c>
      <c r="S13" s="1">
        <v>11099.8</v>
      </c>
      <c r="T13" s="1">
        <v>11099.8</v>
      </c>
      <c r="U13" s="1">
        <v>11099.8</v>
      </c>
      <c r="V13" s="1">
        <v>11099.8</v>
      </c>
      <c r="W13" s="1">
        <v>11099.8</v>
      </c>
      <c r="X13" s="1">
        <v>11099.8</v>
      </c>
      <c r="Y13" s="1">
        <v>11099.8</v>
      </c>
      <c r="Z13" s="1">
        <v>11099.8</v>
      </c>
      <c r="AA13" s="1">
        <v>11099.8</v>
      </c>
      <c r="AB13" s="1">
        <v>10897.3</v>
      </c>
      <c r="AC13" s="1">
        <v>10657.4</v>
      </c>
      <c r="AD13" s="1">
        <v>10657.4</v>
      </c>
      <c r="AE13" s="1">
        <v>10612.5</v>
      </c>
      <c r="AF13" s="1">
        <v>10612.5</v>
      </c>
    </row>
    <row r="14" spans="2:32" x14ac:dyDescent="0.25">
      <c r="B14" s="10">
        <v>1100</v>
      </c>
      <c r="C14" s="10" t="s">
        <v>12</v>
      </c>
      <c r="D14" s="5">
        <v>7</v>
      </c>
      <c r="E14" t="s">
        <v>8</v>
      </c>
      <c r="F14" s="1">
        <v>9930.6</v>
      </c>
      <c r="G14" s="1">
        <v>11865.7</v>
      </c>
      <c r="H14" s="1">
        <v>12709.1</v>
      </c>
      <c r="I14" s="1">
        <v>12013.8</v>
      </c>
      <c r="J14" s="1">
        <v>12052.8</v>
      </c>
      <c r="K14" s="1">
        <v>12052.8</v>
      </c>
      <c r="L14" s="1">
        <v>12138.1</v>
      </c>
      <c r="M14" s="1">
        <v>12149.8</v>
      </c>
      <c r="N14" s="1">
        <v>12149.8</v>
      </c>
      <c r="O14" s="1">
        <v>12347.2</v>
      </c>
      <c r="P14" s="1">
        <v>12347.2</v>
      </c>
      <c r="Q14" s="1">
        <v>12347.2</v>
      </c>
      <c r="R14" s="1">
        <v>12867.9</v>
      </c>
      <c r="S14" s="1">
        <v>12863</v>
      </c>
      <c r="T14" s="1">
        <v>10109.4</v>
      </c>
      <c r="U14" s="1">
        <v>10109.4</v>
      </c>
      <c r="V14" s="1">
        <v>10109.4</v>
      </c>
      <c r="W14" s="1">
        <v>10109.4</v>
      </c>
      <c r="X14" s="1">
        <v>10109.4</v>
      </c>
      <c r="Y14" s="1">
        <v>10109.4</v>
      </c>
      <c r="Z14" s="1">
        <v>10109.4</v>
      </c>
      <c r="AA14" s="1">
        <v>10109.4</v>
      </c>
      <c r="AB14" s="1">
        <v>8185.1</v>
      </c>
      <c r="AC14" s="1">
        <v>7932.1</v>
      </c>
      <c r="AD14" s="1">
        <v>6414.9</v>
      </c>
      <c r="AE14" s="1">
        <v>6414.9</v>
      </c>
      <c r="AF14" s="1">
        <v>6414.9</v>
      </c>
    </row>
    <row r="15" spans="2:32" x14ac:dyDescent="0.25">
      <c r="B15" s="10">
        <v>1100</v>
      </c>
      <c r="C15" s="10" t="s">
        <v>12</v>
      </c>
      <c r="D15" s="5">
        <v>8</v>
      </c>
      <c r="E15" t="s">
        <v>9</v>
      </c>
      <c r="F15" s="1">
        <v>0</v>
      </c>
      <c r="G15" s="1">
        <v>997.9</v>
      </c>
      <c r="H15" s="1">
        <v>986.3</v>
      </c>
      <c r="I15" s="1">
        <v>986.3</v>
      </c>
      <c r="J15" s="1">
        <v>1012.2</v>
      </c>
      <c r="K15" s="1">
        <v>973.6</v>
      </c>
      <c r="L15" s="1">
        <v>1170.9000000000001</v>
      </c>
      <c r="M15" s="1">
        <v>1170.9000000000001</v>
      </c>
      <c r="N15" s="1">
        <v>1170.9000000000001</v>
      </c>
      <c r="O15" s="1">
        <v>1170.9000000000001</v>
      </c>
      <c r="P15" s="1">
        <v>1170.9000000000001</v>
      </c>
      <c r="Q15" s="1">
        <v>1170.9000000000001</v>
      </c>
      <c r="R15" s="1">
        <v>1145</v>
      </c>
      <c r="S15" s="1">
        <v>1145</v>
      </c>
      <c r="T15" s="1">
        <v>1145</v>
      </c>
      <c r="U15" s="1">
        <v>1145</v>
      </c>
      <c r="V15" s="1">
        <v>1145</v>
      </c>
      <c r="W15" s="1">
        <v>1145</v>
      </c>
      <c r="X15" s="1">
        <v>1145</v>
      </c>
      <c r="Y15" s="1">
        <v>1145</v>
      </c>
      <c r="Z15" s="1">
        <v>1145</v>
      </c>
      <c r="AA15" s="1">
        <v>1145</v>
      </c>
      <c r="AB15" s="1">
        <v>1145</v>
      </c>
      <c r="AC15" s="1">
        <v>1145</v>
      </c>
      <c r="AD15" s="1">
        <v>1145</v>
      </c>
      <c r="AE15" s="1">
        <v>1145</v>
      </c>
      <c r="AF15" s="1">
        <v>1145</v>
      </c>
    </row>
    <row r="16" spans="2:32" x14ac:dyDescent="0.25">
      <c r="B16" s="10">
        <v>1100</v>
      </c>
      <c r="C16" s="10" t="s">
        <v>12</v>
      </c>
      <c r="D16" s="5">
        <v>9</v>
      </c>
      <c r="E16" t="s">
        <v>10</v>
      </c>
      <c r="F16" s="1">
        <v>7590</v>
      </c>
      <c r="G16" s="1">
        <v>6401.2</v>
      </c>
      <c r="H16" s="1">
        <v>8986</v>
      </c>
      <c r="I16" s="1">
        <v>8527.7999999999993</v>
      </c>
      <c r="J16" s="1">
        <v>11909.3</v>
      </c>
      <c r="K16" s="1">
        <v>12149.1</v>
      </c>
      <c r="L16" s="1">
        <v>12022.8</v>
      </c>
      <c r="M16" s="1">
        <v>12022.8</v>
      </c>
      <c r="N16" s="1">
        <v>12022.8</v>
      </c>
      <c r="O16" s="1">
        <v>11992.6</v>
      </c>
      <c r="P16" s="1">
        <v>11985.8</v>
      </c>
      <c r="Q16" s="1">
        <v>11985.8</v>
      </c>
      <c r="R16" s="1">
        <v>18786.900000000001</v>
      </c>
      <c r="S16" s="1">
        <v>18724.5</v>
      </c>
      <c r="T16" s="1">
        <v>19201.099999999999</v>
      </c>
      <c r="U16" s="1">
        <v>19218.2</v>
      </c>
      <c r="V16" s="1">
        <v>19218.2</v>
      </c>
      <c r="W16" s="1">
        <v>19153.3</v>
      </c>
      <c r="X16" s="1">
        <v>19153.3</v>
      </c>
      <c r="Y16" s="1">
        <v>19153.3</v>
      </c>
      <c r="Z16" s="1">
        <v>19153.3</v>
      </c>
      <c r="AA16" s="1">
        <v>19611.5</v>
      </c>
      <c r="AB16" s="1">
        <v>19611.5</v>
      </c>
      <c r="AC16" s="1">
        <v>19546.5</v>
      </c>
      <c r="AD16" s="1">
        <v>19546.5</v>
      </c>
      <c r="AE16" s="1">
        <v>22867.7</v>
      </c>
      <c r="AF16" s="1">
        <v>22867.7</v>
      </c>
    </row>
    <row r="17" spans="2:32" x14ac:dyDescent="0.25">
      <c r="B17" s="10">
        <v>1300</v>
      </c>
      <c r="C17" s="10" t="s">
        <v>13</v>
      </c>
      <c r="D17" s="5">
        <v>6</v>
      </c>
      <c r="E17" t="s">
        <v>7</v>
      </c>
      <c r="F17" s="1">
        <v>14952.6</v>
      </c>
      <c r="G17" s="1">
        <v>17807.5</v>
      </c>
      <c r="H17" s="1">
        <v>16679.2</v>
      </c>
      <c r="I17" s="1">
        <v>17950.599999999999</v>
      </c>
      <c r="J17" s="1">
        <v>17950.599999999999</v>
      </c>
      <c r="K17" s="1">
        <v>18107.8</v>
      </c>
      <c r="L17" s="1">
        <v>25896.799999999999</v>
      </c>
      <c r="M17" s="1">
        <v>26191.200000000001</v>
      </c>
      <c r="N17" s="1">
        <v>25847.9</v>
      </c>
      <c r="O17" s="1">
        <v>25785.4</v>
      </c>
      <c r="P17" s="1">
        <v>26348.5</v>
      </c>
      <c r="Q17" s="1">
        <v>46870.2</v>
      </c>
      <c r="R17" s="1">
        <v>62321.9</v>
      </c>
      <c r="S17" s="1">
        <v>72822.2</v>
      </c>
      <c r="T17" s="1">
        <v>96313.3</v>
      </c>
      <c r="U17" s="1">
        <v>96313.3</v>
      </c>
      <c r="V17" s="1">
        <v>96313.3</v>
      </c>
      <c r="W17" s="1">
        <v>96313.3</v>
      </c>
      <c r="X17" s="1">
        <v>96268.9</v>
      </c>
      <c r="Y17" s="1">
        <v>96561.9</v>
      </c>
      <c r="Z17" s="1">
        <v>97327.5</v>
      </c>
      <c r="AA17" s="1">
        <v>97328.5</v>
      </c>
      <c r="AB17" s="1">
        <v>100993.4</v>
      </c>
      <c r="AC17" s="1">
        <v>102761.60000000001</v>
      </c>
      <c r="AD17" s="1">
        <v>104528</v>
      </c>
      <c r="AE17" s="1">
        <v>106709.6</v>
      </c>
      <c r="AF17" s="1">
        <v>106382.9</v>
      </c>
    </row>
    <row r="18" spans="2:32" x14ac:dyDescent="0.25">
      <c r="B18" s="10">
        <v>1300</v>
      </c>
      <c r="C18" s="10" t="s">
        <v>13</v>
      </c>
      <c r="D18" s="5">
        <v>7</v>
      </c>
      <c r="E18" t="s">
        <v>8</v>
      </c>
      <c r="F18" s="1">
        <v>41031.699999999997</v>
      </c>
      <c r="G18" s="1">
        <v>41643.800000000003</v>
      </c>
      <c r="H18" s="1">
        <v>47089.5</v>
      </c>
      <c r="I18" s="1">
        <v>54190.5</v>
      </c>
      <c r="J18" s="1">
        <v>67233</v>
      </c>
      <c r="K18" s="1">
        <v>70660.899999999994</v>
      </c>
      <c r="L18" s="1">
        <v>79779.8</v>
      </c>
      <c r="M18" s="1">
        <v>96851.9</v>
      </c>
      <c r="N18" s="1">
        <v>102504</v>
      </c>
      <c r="O18" s="1">
        <v>106353.5</v>
      </c>
      <c r="P18" s="1">
        <v>107713.8</v>
      </c>
      <c r="Q18" s="1">
        <v>109356.6</v>
      </c>
      <c r="R18" s="1">
        <v>114678.9</v>
      </c>
      <c r="S18" s="1">
        <v>114680.7</v>
      </c>
      <c r="T18" s="1">
        <v>116890.7</v>
      </c>
      <c r="U18" s="1">
        <v>116721.5</v>
      </c>
      <c r="V18" s="1">
        <v>116698.9</v>
      </c>
      <c r="W18" s="1">
        <v>115620.8</v>
      </c>
      <c r="X18" s="1">
        <v>117120.5</v>
      </c>
      <c r="Y18" s="1">
        <v>118159.1</v>
      </c>
      <c r="Z18" s="1">
        <v>116231.7</v>
      </c>
      <c r="AA18" s="1">
        <v>117080.8</v>
      </c>
      <c r="AB18" s="1">
        <v>117080.8</v>
      </c>
      <c r="AC18" s="1">
        <v>119000.1</v>
      </c>
      <c r="AD18" s="1">
        <v>116942.9</v>
      </c>
      <c r="AE18" s="1">
        <v>112522.5</v>
      </c>
      <c r="AF18" s="1">
        <v>112522.5</v>
      </c>
    </row>
    <row r="19" spans="2:32" x14ac:dyDescent="0.25">
      <c r="B19" s="10">
        <v>1300</v>
      </c>
      <c r="C19" s="10" t="s">
        <v>13</v>
      </c>
      <c r="D19" s="5">
        <v>8</v>
      </c>
      <c r="E19" t="s">
        <v>9</v>
      </c>
      <c r="F19" s="1">
        <v>7265.4</v>
      </c>
      <c r="G19" s="1">
        <v>7265.4</v>
      </c>
      <c r="H19" s="1">
        <v>7265.4</v>
      </c>
      <c r="I19" s="1">
        <v>7337.4</v>
      </c>
      <c r="J19" s="1">
        <v>7337.4</v>
      </c>
      <c r="K19" s="1">
        <v>7037.4</v>
      </c>
      <c r="L19" s="1">
        <v>8576.7999999999993</v>
      </c>
      <c r="M19" s="1">
        <v>8576.7999999999993</v>
      </c>
      <c r="N19" s="1">
        <v>8331.7999999999993</v>
      </c>
      <c r="O19" s="1">
        <v>8331.7999999999993</v>
      </c>
      <c r="P19" s="1">
        <v>8767.4</v>
      </c>
      <c r="Q19" s="1">
        <v>8767.4</v>
      </c>
      <c r="R19" s="1">
        <v>9626.6</v>
      </c>
      <c r="S19" s="1">
        <v>9626.6</v>
      </c>
      <c r="T19" s="1">
        <v>9626.6</v>
      </c>
      <c r="U19" s="1">
        <v>9626.6</v>
      </c>
      <c r="V19" s="1">
        <v>9626.6</v>
      </c>
      <c r="W19" s="1">
        <v>11097.3</v>
      </c>
      <c r="X19" s="1">
        <v>11164.5</v>
      </c>
      <c r="Y19" s="1">
        <v>11416</v>
      </c>
      <c r="Z19" s="1">
        <v>11416</v>
      </c>
      <c r="AA19" s="1">
        <v>11416</v>
      </c>
      <c r="AB19" s="1">
        <v>11416</v>
      </c>
      <c r="AC19" s="1">
        <v>11348.8</v>
      </c>
      <c r="AD19" s="1">
        <v>11682.3</v>
      </c>
      <c r="AE19" s="1">
        <v>16473.900000000001</v>
      </c>
      <c r="AF19" s="1">
        <v>16473.900000000001</v>
      </c>
    </row>
    <row r="20" spans="2:32" x14ac:dyDescent="0.25">
      <c r="B20" s="10">
        <v>1300</v>
      </c>
      <c r="C20" s="10" t="s">
        <v>13</v>
      </c>
      <c r="D20" s="5">
        <v>9</v>
      </c>
      <c r="E20" t="s">
        <v>10</v>
      </c>
      <c r="F20" s="1">
        <v>32621.7</v>
      </c>
      <c r="G20" s="1">
        <v>33707.5</v>
      </c>
      <c r="H20" s="1">
        <v>34658.9</v>
      </c>
      <c r="I20" s="1">
        <v>40802</v>
      </c>
      <c r="J20" s="1">
        <v>40820.1</v>
      </c>
      <c r="K20" s="1">
        <v>40078.1</v>
      </c>
      <c r="L20" s="1">
        <v>41673.699999999997</v>
      </c>
      <c r="M20" s="1">
        <v>42308.4</v>
      </c>
      <c r="N20" s="1">
        <v>43567.4</v>
      </c>
      <c r="O20" s="1">
        <v>43243.199999999997</v>
      </c>
      <c r="P20" s="1">
        <v>50425.4</v>
      </c>
      <c r="Q20" s="1">
        <v>62353.8</v>
      </c>
      <c r="R20" s="1">
        <v>62753.1</v>
      </c>
      <c r="S20" s="1">
        <v>65726.899999999994</v>
      </c>
      <c r="T20" s="1">
        <v>68367.3</v>
      </c>
      <c r="U20" s="1">
        <v>68386.3</v>
      </c>
      <c r="V20" s="1">
        <v>68434.600000000006</v>
      </c>
      <c r="W20" s="1">
        <v>75309.899999999994</v>
      </c>
      <c r="X20" s="1">
        <v>75324.800000000003</v>
      </c>
      <c r="Y20" s="1">
        <v>89957.3</v>
      </c>
      <c r="Z20" s="1">
        <v>90507.9</v>
      </c>
      <c r="AA20" s="1">
        <v>90464.9</v>
      </c>
      <c r="AB20" s="1">
        <v>90464.9</v>
      </c>
      <c r="AC20" s="1">
        <v>90464.9</v>
      </c>
      <c r="AD20" s="1">
        <v>95395.4</v>
      </c>
      <c r="AE20" s="1">
        <v>95463.8</v>
      </c>
      <c r="AF20" s="1">
        <v>95463.8</v>
      </c>
    </row>
    <row r="21" spans="2:32" x14ac:dyDescent="0.25">
      <c r="B21" s="10">
        <v>1400</v>
      </c>
      <c r="C21" s="10" t="s">
        <v>14</v>
      </c>
      <c r="D21" s="5">
        <v>6</v>
      </c>
      <c r="E21" t="s">
        <v>7</v>
      </c>
      <c r="F21" s="1">
        <v>56811.3</v>
      </c>
      <c r="G21" s="1">
        <v>63255.9</v>
      </c>
      <c r="H21" s="1">
        <v>75444.2</v>
      </c>
      <c r="I21" s="1">
        <v>76619.100000000006</v>
      </c>
      <c r="J21" s="1">
        <v>80661</v>
      </c>
      <c r="K21" s="1">
        <v>83491.8</v>
      </c>
      <c r="L21" s="1">
        <v>85587.9</v>
      </c>
      <c r="M21" s="1">
        <v>89910.8</v>
      </c>
      <c r="N21" s="1">
        <v>93792.4</v>
      </c>
      <c r="O21" s="1">
        <v>94102.7</v>
      </c>
      <c r="P21" s="1">
        <v>105487.9</v>
      </c>
      <c r="Q21" s="1">
        <v>105264.1</v>
      </c>
      <c r="R21" s="1">
        <v>110344.7</v>
      </c>
      <c r="S21" s="1">
        <v>121450.3</v>
      </c>
      <c r="T21" s="1">
        <v>149231.9</v>
      </c>
      <c r="U21" s="1">
        <v>159499.6</v>
      </c>
      <c r="V21" s="1">
        <v>159480.5</v>
      </c>
      <c r="W21" s="1">
        <v>159593.5</v>
      </c>
      <c r="X21" s="1">
        <v>159956.1</v>
      </c>
      <c r="Y21" s="1">
        <v>150639.29999999999</v>
      </c>
      <c r="Z21" s="1">
        <v>151321.5</v>
      </c>
      <c r="AA21" s="1">
        <v>145574</v>
      </c>
      <c r="AB21" s="1">
        <v>146219.70000000001</v>
      </c>
      <c r="AC21" s="1">
        <v>150156.9</v>
      </c>
      <c r="AD21" s="1">
        <v>157787.29999999999</v>
      </c>
      <c r="AE21" s="1">
        <v>163887.4</v>
      </c>
      <c r="AF21" s="1">
        <v>164382.6</v>
      </c>
    </row>
    <row r="22" spans="2:32" x14ac:dyDescent="0.25">
      <c r="B22" s="10">
        <v>1400</v>
      </c>
      <c r="C22" s="10" t="s">
        <v>14</v>
      </c>
      <c r="D22" s="5">
        <v>7</v>
      </c>
      <c r="E22" t="s">
        <v>8</v>
      </c>
      <c r="F22" s="1">
        <v>153533.20000000001</v>
      </c>
      <c r="G22" s="1">
        <v>157084.29999999999</v>
      </c>
      <c r="H22" s="1">
        <v>157241.60000000001</v>
      </c>
      <c r="I22" s="1">
        <v>167471.1</v>
      </c>
      <c r="J22" s="1">
        <v>171290.9</v>
      </c>
      <c r="K22" s="1">
        <v>191484.6</v>
      </c>
      <c r="L22" s="1">
        <v>193156.9</v>
      </c>
      <c r="M22" s="1">
        <v>201111.3</v>
      </c>
      <c r="N22" s="1">
        <v>204701.5</v>
      </c>
      <c r="O22" s="1">
        <v>206988.3</v>
      </c>
      <c r="P22" s="1">
        <v>212726.3</v>
      </c>
      <c r="Q22" s="1">
        <v>221748.6</v>
      </c>
      <c r="R22" s="1">
        <v>238283.1</v>
      </c>
      <c r="S22" s="1">
        <v>274170.90000000002</v>
      </c>
      <c r="T22" s="1">
        <v>297347.8</v>
      </c>
      <c r="U22" s="1">
        <v>305057.3</v>
      </c>
      <c r="V22" s="1">
        <v>305442.40000000002</v>
      </c>
      <c r="W22" s="1">
        <v>305589.5</v>
      </c>
      <c r="X22" s="1">
        <v>306151.8</v>
      </c>
      <c r="Y22" s="1">
        <v>305241.59999999998</v>
      </c>
      <c r="Z22" s="1">
        <v>302507.3</v>
      </c>
      <c r="AA22" s="1">
        <v>301924.90000000002</v>
      </c>
      <c r="AB22" s="1">
        <v>317682.90000000002</v>
      </c>
      <c r="AC22" s="1">
        <v>324573.7</v>
      </c>
      <c r="AD22" s="1">
        <v>345864.1</v>
      </c>
      <c r="AE22" s="1">
        <v>357888.8</v>
      </c>
      <c r="AF22" s="1">
        <v>367933.9</v>
      </c>
    </row>
    <row r="23" spans="2:32" x14ac:dyDescent="0.25">
      <c r="B23" s="10">
        <v>1400</v>
      </c>
      <c r="C23" s="10" t="s">
        <v>14</v>
      </c>
      <c r="D23" s="5">
        <v>8</v>
      </c>
      <c r="E23" t="s">
        <v>9</v>
      </c>
      <c r="F23" s="1">
        <v>21614.9</v>
      </c>
      <c r="G23" s="1">
        <v>21767.4</v>
      </c>
      <c r="H23" s="1">
        <v>23172.2</v>
      </c>
      <c r="I23" s="1">
        <v>22872.6</v>
      </c>
      <c r="J23" s="1">
        <v>22263.5</v>
      </c>
      <c r="K23" s="1">
        <v>20902.8</v>
      </c>
      <c r="L23" s="1">
        <v>20182.3</v>
      </c>
      <c r="M23" s="1">
        <v>20207.599999999999</v>
      </c>
      <c r="N23" s="1">
        <v>20591.099999999999</v>
      </c>
      <c r="O23" s="1">
        <v>20309</v>
      </c>
      <c r="P23" s="1">
        <v>27683.4</v>
      </c>
      <c r="Q23" s="1">
        <v>25201.7</v>
      </c>
      <c r="R23" s="1">
        <v>31269.200000000001</v>
      </c>
      <c r="S23" s="1">
        <v>32739.599999999999</v>
      </c>
      <c r="T23" s="1">
        <v>33781.800000000003</v>
      </c>
      <c r="U23" s="1">
        <v>41461.800000000003</v>
      </c>
      <c r="V23" s="1">
        <v>41600.800000000003</v>
      </c>
      <c r="W23" s="1">
        <v>42839.4</v>
      </c>
      <c r="X23" s="1">
        <v>40549.199999999997</v>
      </c>
      <c r="Y23" s="1">
        <v>39242.199999999997</v>
      </c>
      <c r="Z23" s="1">
        <v>36123.300000000003</v>
      </c>
      <c r="AA23" s="1">
        <v>33703.4</v>
      </c>
      <c r="AB23" s="1">
        <v>33451.800000000003</v>
      </c>
      <c r="AC23" s="1">
        <v>34876.6</v>
      </c>
      <c r="AD23" s="1">
        <v>34876.6</v>
      </c>
      <c r="AE23" s="1">
        <v>34910.699999999997</v>
      </c>
      <c r="AF23" s="1">
        <v>35636.699999999997</v>
      </c>
    </row>
    <row r="24" spans="2:32" x14ac:dyDescent="0.25">
      <c r="B24" s="10">
        <v>1400</v>
      </c>
      <c r="C24" s="10" t="s">
        <v>14</v>
      </c>
      <c r="D24" s="5">
        <v>9</v>
      </c>
      <c r="E24" t="s">
        <v>10</v>
      </c>
      <c r="F24" s="1">
        <v>123033.3</v>
      </c>
      <c r="G24" s="1">
        <v>118987.1</v>
      </c>
      <c r="H24" s="1">
        <v>119815.3</v>
      </c>
      <c r="I24" s="1">
        <v>189184.3</v>
      </c>
      <c r="J24" s="1">
        <v>198592.3</v>
      </c>
      <c r="K24" s="1">
        <v>206712.8</v>
      </c>
      <c r="L24" s="1">
        <v>215466.9</v>
      </c>
      <c r="M24" s="1">
        <v>220769.5</v>
      </c>
      <c r="N24" s="1">
        <v>233475.3</v>
      </c>
      <c r="O24" s="1">
        <v>365123.1</v>
      </c>
      <c r="P24" s="1">
        <v>370154.7</v>
      </c>
      <c r="Q24" s="1">
        <v>381033.8</v>
      </c>
      <c r="R24" s="1">
        <v>385938.5</v>
      </c>
      <c r="S24" s="1">
        <v>396506</v>
      </c>
      <c r="T24" s="1">
        <v>398546.6</v>
      </c>
      <c r="U24" s="1">
        <v>394636.5</v>
      </c>
      <c r="V24" s="1">
        <v>403339.9</v>
      </c>
      <c r="W24" s="1">
        <v>409423.3</v>
      </c>
      <c r="X24" s="1">
        <v>411110.7</v>
      </c>
      <c r="Y24" s="1">
        <v>418089.3</v>
      </c>
      <c r="Z24" s="1">
        <v>421415.5</v>
      </c>
      <c r="AA24" s="1">
        <v>424713.7</v>
      </c>
      <c r="AB24" s="1">
        <v>423125.1</v>
      </c>
      <c r="AC24" s="1">
        <v>434258.3</v>
      </c>
      <c r="AD24" s="1">
        <v>427118.7</v>
      </c>
      <c r="AE24" s="1">
        <v>427482.5</v>
      </c>
      <c r="AF24" s="1">
        <v>428824.2</v>
      </c>
    </row>
    <row r="25" spans="2:32" x14ac:dyDescent="0.25">
      <c r="B25" s="10">
        <v>1604</v>
      </c>
      <c r="C25" s="10" t="s">
        <v>15</v>
      </c>
      <c r="D25" s="5">
        <v>6</v>
      </c>
      <c r="E25" t="s">
        <v>7</v>
      </c>
      <c r="F25" s="1">
        <v>8078.3</v>
      </c>
      <c r="G25" s="1">
        <v>9380.7000000000007</v>
      </c>
      <c r="H25" s="1">
        <v>12059.4</v>
      </c>
      <c r="I25" s="1">
        <v>16968.2</v>
      </c>
      <c r="J25" s="1">
        <v>16811.2</v>
      </c>
      <c r="K25" s="1">
        <v>17098.2</v>
      </c>
      <c r="L25" s="1">
        <v>17259</v>
      </c>
      <c r="M25" s="1">
        <v>17340.599999999999</v>
      </c>
      <c r="N25" s="1">
        <v>18255.900000000001</v>
      </c>
      <c r="O25" s="1">
        <v>18672.400000000001</v>
      </c>
      <c r="P25" s="1">
        <v>19702.7</v>
      </c>
      <c r="Q25" s="1">
        <v>19853.599999999999</v>
      </c>
      <c r="R25" s="1">
        <v>23888.1</v>
      </c>
      <c r="S25" s="1">
        <v>23895.5</v>
      </c>
      <c r="T25" s="1">
        <v>24331.200000000001</v>
      </c>
      <c r="U25" s="1">
        <v>24352.5</v>
      </c>
      <c r="V25" s="1">
        <v>25143.599999999999</v>
      </c>
      <c r="W25" s="1">
        <v>25143.599999999999</v>
      </c>
      <c r="X25" s="1">
        <v>25143.599999999999</v>
      </c>
      <c r="Y25" s="1">
        <v>25143.599999999999</v>
      </c>
      <c r="Z25" s="1">
        <v>27193.200000000001</v>
      </c>
      <c r="AA25" s="1">
        <v>27193.200000000001</v>
      </c>
      <c r="AB25" s="1">
        <v>28368.2</v>
      </c>
      <c r="AC25" s="1">
        <v>28586.400000000001</v>
      </c>
      <c r="AD25" s="1">
        <v>33436.199999999997</v>
      </c>
      <c r="AE25" s="1">
        <v>33589.699999999997</v>
      </c>
      <c r="AF25" s="1">
        <v>32354.799999999999</v>
      </c>
    </row>
    <row r="26" spans="2:32" x14ac:dyDescent="0.25">
      <c r="B26" s="10">
        <v>1604</v>
      </c>
      <c r="C26" s="10" t="s">
        <v>15</v>
      </c>
      <c r="D26" s="5">
        <v>7</v>
      </c>
      <c r="E26" t="s">
        <v>8</v>
      </c>
      <c r="F26" s="1">
        <v>21149.5</v>
      </c>
      <c r="G26" s="1">
        <v>24938.2</v>
      </c>
      <c r="H26" s="1">
        <v>23878.2</v>
      </c>
      <c r="I26" s="1">
        <v>24073.7</v>
      </c>
      <c r="J26" s="1">
        <v>24618.3</v>
      </c>
      <c r="K26" s="1">
        <v>27660.3</v>
      </c>
      <c r="L26" s="1">
        <v>27735.8</v>
      </c>
      <c r="M26" s="1">
        <v>38428.1</v>
      </c>
      <c r="N26" s="1">
        <v>41354.699999999997</v>
      </c>
      <c r="O26" s="1">
        <v>48669.599999999999</v>
      </c>
      <c r="P26" s="1">
        <v>47496.1</v>
      </c>
      <c r="Q26" s="1">
        <v>49259.7</v>
      </c>
      <c r="R26" s="1">
        <v>50979.1</v>
      </c>
      <c r="S26" s="1">
        <v>54830.8</v>
      </c>
      <c r="T26" s="1">
        <v>61115.7</v>
      </c>
      <c r="U26" s="1">
        <v>61053.2</v>
      </c>
      <c r="V26" s="1">
        <v>61792.2</v>
      </c>
      <c r="W26" s="1">
        <v>61792.2</v>
      </c>
      <c r="X26" s="1">
        <v>64381</v>
      </c>
      <c r="Y26" s="1">
        <v>64847.8</v>
      </c>
      <c r="Z26" s="1">
        <v>64858.9</v>
      </c>
      <c r="AA26" s="1">
        <v>64858.9</v>
      </c>
      <c r="AB26" s="1">
        <v>67286.399999999994</v>
      </c>
      <c r="AC26" s="1">
        <v>69303.8</v>
      </c>
      <c r="AD26" s="1">
        <v>75685.5</v>
      </c>
      <c r="AE26" s="1">
        <v>86021.4</v>
      </c>
      <c r="AF26" s="1">
        <v>91940.9</v>
      </c>
    </row>
    <row r="27" spans="2:32" x14ac:dyDescent="0.25">
      <c r="B27" s="10">
        <v>1604</v>
      </c>
      <c r="C27" s="10" t="s">
        <v>15</v>
      </c>
      <c r="D27" s="5">
        <v>8</v>
      </c>
      <c r="E27" t="s">
        <v>9</v>
      </c>
      <c r="F27" s="1">
        <v>2123.3000000000002</v>
      </c>
      <c r="G27" s="1">
        <v>2123.3000000000002</v>
      </c>
      <c r="H27" s="1">
        <v>2243.3000000000002</v>
      </c>
      <c r="I27" s="1">
        <v>2368.6999999999998</v>
      </c>
      <c r="J27" s="1">
        <v>2660.6</v>
      </c>
      <c r="K27" s="1">
        <v>2767</v>
      </c>
      <c r="L27" s="1">
        <v>2796.1</v>
      </c>
      <c r="M27" s="1">
        <v>2736.6</v>
      </c>
      <c r="N27" s="1">
        <v>2844.4</v>
      </c>
      <c r="O27" s="1">
        <v>4445.3999999999996</v>
      </c>
      <c r="P27" s="1">
        <v>4460.5</v>
      </c>
      <c r="Q27" s="1">
        <v>4445.3999999999996</v>
      </c>
      <c r="R27" s="1">
        <v>4494.8999999999996</v>
      </c>
      <c r="S27" s="1">
        <v>4528.8999999999996</v>
      </c>
      <c r="T27" s="1">
        <v>4539.6000000000004</v>
      </c>
      <c r="U27" s="1">
        <v>4539.6000000000004</v>
      </c>
      <c r="V27" s="1">
        <v>4427.3</v>
      </c>
      <c r="W27" s="1">
        <v>4427.3</v>
      </c>
      <c r="X27" s="1">
        <v>4427.3</v>
      </c>
      <c r="Y27" s="1">
        <v>4427.3</v>
      </c>
      <c r="Z27" s="1">
        <v>6671.2</v>
      </c>
      <c r="AA27" s="1">
        <v>6672.2</v>
      </c>
      <c r="AB27" s="1">
        <v>9753.2000000000007</v>
      </c>
      <c r="AC27" s="1">
        <v>9753.2000000000007</v>
      </c>
      <c r="AD27" s="1">
        <v>10238.299999999999</v>
      </c>
      <c r="AE27" s="1">
        <v>10238.299999999999</v>
      </c>
      <c r="AF27" s="1">
        <v>10238.299999999999</v>
      </c>
    </row>
    <row r="28" spans="2:32" x14ac:dyDescent="0.25">
      <c r="B28" s="10">
        <v>1604</v>
      </c>
      <c r="C28" s="10" t="s">
        <v>15</v>
      </c>
      <c r="D28" s="5">
        <v>9</v>
      </c>
      <c r="E28" t="s">
        <v>10</v>
      </c>
      <c r="F28" s="1">
        <v>38930.699999999997</v>
      </c>
      <c r="G28" s="1">
        <v>37899</v>
      </c>
      <c r="H28" s="1">
        <v>41272.5</v>
      </c>
      <c r="I28" s="1">
        <v>45710.9</v>
      </c>
      <c r="J28" s="1">
        <v>55316</v>
      </c>
      <c r="K28" s="1">
        <v>58741.9</v>
      </c>
      <c r="L28" s="1">
        <v>62341.8</v>
      </c>
      <c r="M28" s="1">
        <v>61625.1</v>
      </c>
      <c r="N28" s="1">
        <v>72858.2</v>
      </c>
      <c r="O28" s="1">
        <v>79948.5</v>
      </c>
      <c r="P28" s="1">
        <v>81722.600000000006</v>
      </c>
      <c r="Q28" s="1">
        <v>96938.7</v>
      </c>
      <c r="R28" s="1">
        <v>86708.7</v>
      </c>
      <c r="S28" s="1">
        <v>88040.9</v>
      </c>
      <c r="T28" s="1">
        <v>88220.5</v>
      </c>
      <c r="U28" s="1">
        <v>89047.2</v>
      </c>
      <c r="V28" s="1">
        <v>93615</v>
      </c>
      <c r="W28" s="1">
        <v>93741.1</v>
      </c>
      <c r="X28" s="1">
        <v>95307.3</v>
      </c>
      <c r="Y28" s="1">
        <v>99561.2</v>
      </c>
      <c r="Z28" s="1">
        <v>101930</v>
      </c>
      <c r="AA28" s="1">
        <v>104951.3</v>
      </c>
      <c r="AB28" s="1">
        <v>104861.5</v>
      </c>
      <c r="AC28" s="1">
        <v>106268.8</v>
      </c>
      <c r="AD28" s="1">
        <v>109952.7</v>
      </c>
      <c r="AE28" s="1">
        <v>113599.2</v>
      </c>
      <c r="AF28" s="1">
        <v>114860.4</v>
      </c>
    </row>
    <row r="29" spans="2:32" x14ac:dyDescent="0.25">
      <c r="B29" s="10">
        <v>1606</v>
      </c>
      <c r="C29" s="10" t="s">
        <v>16</v>
      </c>
      <c r="D29" s="5">
        <v>7</v>
      </c>
      <c r="E29" t="s">
        <v>8</v>
      </c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>
        <v>0</v>
      </c>
      <c r="Y29" s="1">
        <v>0</v>
      </c>
      <c r="Z29" s="1">
        <v>0</v>
      </c>
      <c r="AA29" s="1">
        <v>0</v>
      </c>
      <c r="AB29" s="1">
        <v>0</v>
      </c>
      <c r="AC29" s="1">
        <v>19.399999999999999</v>
      </c>
      <c r="AD29" s="1">
        <v>36.700000000000003</v>
      </c>
      <c r="AE29" s="1">
        <v>36.700000000000003</v>
      </c>
      <c r="AF29" s="1">
        <v>36.700000000000003</v>
      </c>
    </row>
    <row r="30" spans="2:32" x14ac:dyDescent="0.25">
      <c r="B30" s="10">
        <v>1606</v>
      </c>
      <c r="C30" s="10" t="s">
        <v>16</v>
      </c>
      <c r="D30" s="5">
        <v>8</v>
      </c>
      <c r="E30" t="s">
        <v>9</v>
      </c>
      <c r="F30" s="1">
        <v>70</v>
      </c>
      <c r="G30" s="1">
        <v>246</v>
      </c>
      <c r="H30" s="1">
        <v>306.89999999999998</v>
      </c>
      <c r="I30" s="1">
        <v>306.89999999999998</v>
      </c>
      <c r="J30" s="1">
        <v>306.89999999999998</v>
      </c>
      <c r="K30" s="1">
        <v>306.89999999999998</v>
      </c>
      <c r="L30" s="1">
        <v>306.89999999999998</v>
      </c>
      <c r="M30" s="1">
        <v>136.5</v>
      </c>
      <c r="N30" s="1">
        <v>136.5</v>
      </c>
      <c r="O30" s="1">
        <v>320.2</v>
      </c>
      <c r="P30" s="1">
        <v>320.2</v>
      </c>
      <c r="Q30" s="1">
        <v>320.2</v>
      </c>
      <c r="R30" s="1">
        <v>725.5</v>
      </c>
      <c r="S30" s="1">
        <v>725.5</v>
      </c>
      <c r="T30" s="1">
        <v>725.5</v>
      </c>
      <c r="U30" s="1">
        <v>725.5</v>
      </c>
      <c r="V30" s="1">
        <v>1023.5</v>
      </c>
      <c r="W30" s="1">
        <v>1023.5</v>
      </c>
      <c r="X30" s="1">
        <v>1023.5</v>
      </c>
      <c r="Y30" s="1">
        <v>1023.5</v>
      </c>
      <c r="Z30" s="1">
        <v>1023.5</v>
      </c>
      <c r="AA30" s="1">
        <v>1065.5</v>
      </c>
      <c r="AB30" s="1">
        <v>1065.5</v>
      </c>
      <c r="AC30" s="1">
        <v>1065.5</v>
      </c>
      <c r="AD30" s="1">
        <v>1603.5</v>
      </c>
      <c r="AE30" s="1">
        <v>1603.5</v>
      </c>
      <c r="AF30" s="1">
        <v>1653.4</v>
      </c>
    </row>
    <row r="31" spans="2:32" x14ac:dyDescent="0.25">
      <c r="B31" s="10">
        <v>1606</v>
      </c>
      <c r="C31" s="10" t="s">
        <v>16</v>
      </c>
      <c r="D31" s="5">
        <v>9</v>
      </c>
      <c r="E31" t="s">
        <v>10</v>
      </c>
      <c r="F31" s="1">
        <v>5427.5</v>
      </c>
      <c r="G31" s="1">
        <v>5639.5</v>
      </c>
      <c r="H31" s="1">
        <v>5683.9</v>
      </c>
      <c r="I31" s="1">
        <v>5527.6</v>
      </c>
      <c r="J31" s="1">
        <v>6220.4</v>
      </c>
      <c r="K31" s="1">
        <v>6220.4</v>
      </c>
      <c r="L31" s="1">
        <v>6144.5</v>
      </c>
      <c r="M31" s="1">
        <v>3186.1</v>
      </c>
      <c r="N31" s="1">
        <v>3115.4</v>
      </c>
      <c r="O31" s="1">
        <v>3657.2</v>
      </c>
      <c r="P31" s="1">
        <v>3737.7</v>
      </c>
      <c r="Q31" s="1">
        <v>3255.7</v>
      </c>
      <c r="R31" s="1">
        <v>3907.1</v>
      </c>
      <c r="S31" s="1">
        <v>4197.8999999999996</v>
      </c>
      <c r="T31" s="1">
        <v>4197.8999999999996</v>
      </c>
      <c r="U31" s="1">
        <v>4197.8999999999996</v>
      </c>
      <c r="V31" s="1">
        <v>4192.3</v>
      </c>
      <c r="W31" s="1">
        <v>4144.3</v>
      </c>
      <c r="X31" s="1">
        <v>4144.3</v>
      </c>
      <c r="Y31" s="1">
        <v>4144.3</v>
      </c>
      <c r="Z31" s="1">
        <v>4144.3</v>
      </c>
      <c r="AA31" s="1">
        <v>4144.3</v>
      </c>
      <c r="AB31" s="1">
        <v>4144.3</v>
      </c>
      <c r="AC31" s="1">
        <v>4294.5</v>
      </c>
      <c r="AD31" s="1">
        <v>4268.8999999999996</v>
      </c>
      <c r="AE31" s="1">
        <v>4268.8999999999996</v>
      </c>
      <c r="AF31" s="1">
        <v>4315.3999999999996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73C88-405E-4BDC-B2E4-09333727FB7C}">
  <dimension ref="A1:AE43"/>
  <sheetViews>
    <sheetView showGridLines="0" zoomScaleNormal="100" workbookViewId="0">
      <selection activeCell="O14" sqref="O14"/>
    </sheetView>
  </sheetViews>
  <sheetFormatPr defaultRowHeight="21" customHeight="1" x14ac:dyDescent="0.25"/>
  <cols>
    <col min="1" max="1" width="9.140625" style="37"/>
    <col min="2" max="2" width="4.85546875" style="5" customWidth="1"/>
    <col min="3" max="3" width="53.5703125" customWidth="1"/>
    <col min="4" max="10" width="11.140625" style="5" customWidth="1"/>
    <col min="11" max="11" width="12.140625" style="10" customWidth="1"/>
    <col min="12" max="12" width="8.7109375" style="36" bestFit="1" customWidth="1"/>
  </cols>
  <sheetData>
    <row r="1" spans="1:31" ht="9" customHeight="1" x14ac:dyDescent="0.25">
      <c r="A1" s="35"/>
      <c r="K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spans="1:31" ht="23.25" customHeight="1" x14ac:dyDescent="0.3">
      <c r="A2" s="35"/>
      <c r="B2" s="141" t="s">
        <v>39</v>
      </c>
      <c r="C2" s="142"/>
      <c r="D2" s="142"/>
      <c r="E2" s="142"/>
      <c r="F2" s="142"/>
      <c r="G2" s="142"/>
      <c r="H2" s="142"/>
      <c r="I2" s="142"/>
      <c r="J2" s="142"/>
      <c r="K2" s="142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</row>
    <row r="3" spans="1:31" ht="9" customHeight="1" thickBot="1" x14ac:dyDescent="0.3">
      <c r="A3" s="35"/>
      <c r="K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spans="1:31" s="5" customFormat="1" ht="21" customHeight="1" x14ac:dyDescent="0.25">
      <c r="A4" s="37"/>
      <c r="B4" s="38"/>
      <c r="C4" s="39" t="s">
        <v>40</v>
      </c>
      <c r="D4" s="40" t="s">
        <v>41</v>
      </c>
      <c r="E4" s="40" t="s">
        <v>42</v>
      </c>
      <c r="F4" s="40" t="s">
        <v>43</v>
      </c>
      <c r="G4" s="40" t="s">
        <v>44</v>
      </c>
      <c r="H4" s="40" t="s">
        <v>45</v>
      </c>
      <c r="I4" s="40" t="s">
        <v>46</v>
      </c>
      <c r="J4" s="40" t="s">
        <v>47</v>
      </c>
      <c r="K4" s="41" t="s">
        <v>21</v>
      </c>
      <c r="L4" s="36"/>
    </row>
    <row r="5" spans="1:31" s="5" customFormat="1" ht="21" customHeight="1" x14ac:dyDescent="0.25">
      <c r="A5" s="37"/>
      <c r="B5" s="107"/>
      <c r="C5" s="80" t="s">
        <v>48</v>
      </c>
      <c r="D5" s="60">
        <v>929187</v>
      </c>
      <c r="E5" s="60">
        <v>68708</v>
      </c>
      <c r="F5" s="60">
        <v>0</v>
      </c>
      <c r="G5" s="60">
        <v>35330</v>
      </c>
      <c r="H5" s="60">
        <v>681988.31638856942</v>
      </c>
      <c r="I5" s="60">
        <v>80320</v>
      </c>
      <c r="J5" s="60">
        <v>0</v>
      </c>
      <c r="K5" s="108">
        <f>+SUM(D5:J5)</f>
        <v>1795533.3163885693</v>
      </c>
      <c r="L5" s="36"/>
    </row>
    <row r="6" spans="1:31" s="5" customFormat="1" ht="21" customHeight="1" x14ac:dyDescent="0.25">
      <c r="A6" s="37"/>
      <c r="B6" s="46"/>
      <c r="C6" s="47" t="s">
        <v>49</v>
      </c>
      <c r="D6" s="44">
        <v>315128</v>
      </c>
      <c r="E6" s="48">
        <v>22908</v>
      </c>
      <c r="F6" s="48">
        <v>0</v>
      </c>
      <c r="G6" s="48">
        <v>24730</v>
      </c>
      <c r="H6" s="48">
        <v>657771.31638856942</v>
      </c>
      <c r="I6" s="48">
        <v>80320</v>
      </c>
      <c r="J6" s="48">
        <v>0</v>
      </c>
      <c r="K6" s="49">
        <f t="shared" ref="K6:K12" si="0">+SUM(D6:J6)</f>
        <v>1100857.3163885693</v>
      </c>
      <c r="L6" s="36"/>
    </row>
    <row r="7" spans="1:31" s="5" customFormat="1" ht="21" customHeight="1" x14ac:dyDescent="0.25">
      <c r="A7" s="37"/>
      <c r="B7" s="42"/>
      <c r="C7" s="47" t="s">
        <v>50</v>
      </c>
      <c r="D7" s="44">
        <v>614059</v>
      </c>
      <c r="E7" s="48">
        <v>45800</v>
      </c>
      <c r="F7" s="48">
        <v>0</v>
      </c>
      <c r="G7" s="48">
        <v>10600</v>
      </c>
      <c r="H7" s="48">
        <v>24217</v>
      </c>
      <c r="I7" s="48">
        <v>0</v>
      </c>
      <c r="J7" s="48">
        <v>0</v>
      </c>
      <c r="K7" s="49">
        <f t="shared" si="0"/>
        <v>694676</v>
      </c>
      <c r="L7" s="36"/>
    </row>
    <row r="8" spans="1:31" s="5" customFormat="1" ht="21" customHeight="1" x14ac:dyDescent="0.25">
      <c r="A8" s="37"/>
      <c r="B8" s="42"/>
      <c r="C8" s="43" t="s">
        <v>51</v>
      </c>
      <c r="D8" s="44">
        <v>361100</v>
      </c>
      <c r="E8" s="44">
        <v>111800</v>
      </c>
      <c r="F8" s="44">
        <v>0</v>
      </c>
      <c r="G8" s="44">
        <v>105390</v>
      </c>
      <c r="H8" s="44">
        <v>0</v>
      </c>
      <c r="I8" s="44">
        <v>90000</v>
      </c>
      <c r="J8" s="44">
        <v>0</v>
      </c>
      <c r="K8" s="45">
        <f t="shared" si="0"/>
        <v>668290</v>
      </c>
      <c r="L8" s="36"/>
    </row>
    <row r="9" spans="1:31" s="5" customFormat="1" ht="21" customHeight="1" x14ac:dyDescent="0.25">
      <c r="A9" s="37"/>
      <c r="B9" s="42"/>
      <c r="C9" s="43" t="s">
        <v>52</v>
      </c>
      <c r="D9" s="44">
        <v>1753796</v>
      </c>
      <c r="E9" s="44">
        <v>91789</v>
      </c>
      <c r="F9" s="44">
        <v>0</v>
      </c>
      <c r="G9" s="44">
        <v>192000</v>
      </c>
      <c r="H9" s="44">
        <v>3000</v>
      </c>
      <c r="I9" s="44">
        <v>74400</v>
      </c>
      <c r="J9" s="44">
        <v>0</v>
      </c>
      <c r="K9" s="45">
        <f t="shared" si="0"/>
        <v>2114985</v>
      </c>
      <c r="L9" s="36"/>
    </row>
    <row r="10" spans="1:31" s="5" customFormat="1" ht="21" customHeight="1" x14ac:dyDescent="0.25">
      <c r="A10" s="37"/>
      <c r="B10" s="42"/>
      <c r="C10" s="72" t="s">
        <v>59</v>
      </c>
      <c r="D10" s="44">
        <v>1029796</v>
      </c>
      <c r="E10" s="44">
        <v>68789</v>
      </c>
      <c r="F10" s="44">
        <v>0</v>
      </c>
      <c r="G10" s="44">
        <v>107000</v>
      </c>
      <c r="H10" s="44">
        <v>3000</v>
      </c>
      <c r="I10" s="44">
        <v>0</v>
      </c>
      <c r="J10" s="44">
        <v>0</v>
      </c>
      <c r="K10" s="45">
        <f t="shared" si="0"/>
        <v>1208585</v>
      </c>
      <c r="L10" s="36"/>
    </row>
    <row r="11" spans="1:31" s="5" customFormat="1" ht="21" customHeight="1" x14ac:dyDescent="0.25">
      <c r="A11" s="37"/>
      <c r="B11" s="50"/>
      <c r="C11" s="73" t="s">
        <v>60</v>
      </c>
      <c r="D11" s="51">
        <v>724000</v>
      </c>
      <c r="E11" s="51">
        <v>23000</v>
      </c>
      <c r="F11" s="51">
        <v>0</v>
      </c>
      <c r="G11" s="51">
        <v>85000</v>
      </c>
      <c r="H11" s="51">
        <v>0</v>
      </c>
      <c r="I11" s="51">
        <v>74400</v>
      </c>
      <c r="J11" s="51">
        <v>0</v>
      </c>
      <c r="K11" s="52">
        <f t="shared" si="0"/>
        <v>906400</v>
      </c>
      <c r="L11" s="36"/>
    </row>
    <row r="12" spans="1:31" s="5" customFormat="1" ht="21" customHeight="1" thickBot="1" x14ac:dyDescent="0.3">
      <c r="A12" s="37"/>
      <c r="B12" s="53"/>
      <c r="C12" s="54" t="s">
        <v>53</v>
      </c>
      <c r="D12" s="55">
        <v>3044083</v>
      </c>
      <c r="E12" s="55">
        <v>68708</v>
      </c>
      <c r="F12" s="55">
        <v>0</v>
      </c>
      <c r="G12" s="55">
        <v>332720</v>
      </c>
      <c r="H12" s="55">
        <v>684988.31638856942</v>
      </c>
      <c r="I12" s="55">
        <v>244720</v>
      </c>
      <c r="J12" s="55">
        <v>0</v>
      </c>
      <c r="K12" s="56">
        <f t="shared" si="0"/>
        <v>4375219.3163885698</v>
      </c>
      <c r="L12" s="36"/>
    </row>
    <row r="13" spans="1:31" s="5" customFormat="1" ht="9" customHeight="1" thickBot="1" x14ac:dyDescent="0.3">
      <c r="A13" s="37"/>
      <c r="C13"/>
      <c r="D13" s="34"/>
      <c r="E13" s="34"/>
      <c r="F13" s="34"/>
      <c r="G13" s="34"/>
      <c r="H13" s="34"/>
      <c r="I13" s="34"/>
      <c r="J13" s="34"/>
      <c r="K13" s="57"/>
      <c r="L13" s="36"/>
    </row>
    <row r="14" spans="1:31" s="5" customFormat="1" ht="21" customHeight="1" x14ac:dyDescent="0.25">
      <c r="A14" s="37"/>
      <c r="B14" s="38"/>
      <c r="C14" s="58" t="s">
        <v>54</v>
      </c>
      <c r="D14" s="40" t="s">
        <v>41</v>
      </c>
      <c r="E14" s="40" t="s">
        <v>42</v>
      </c>
      <c r="F14" s="40" t="s">
        <v>43</v>
      </c>
      <c r="G14" s="40" t="s">
        <v>44</v>
      </c>
      <c r="H14" s="40" t="s">
        <v>45</v>
      </c>
      <c r="I14" s="40" t="s">
        <v>46</v>
      </c>
      <c r="J14" s="40" t="s">
        <v>47</v>
      </c>
      <c r="K14" s="41" t="s">
        <v>21</v>
      </c>
      <c r="L14" s="36"/>
    </row>
    <row r="15" spans="1:31" s="5" customFormat="1" ht="21" customHeight="1" x14ac:dyDescent="0.25">
      <c r="A15" s="37"/>
      <c r="B15" s="46"/>
      <c r="C15" s="63" t="s">
        <v>55</v>
      </c>
      <c r="D15" s="34">
        <v>25400</v>
      </c>
      <c r="E15" s="60">
        <v>3000</v>
      </c>
      <c r="F15" s="34">
        <v>0</v>
      </c>
      <c r="G15" s="34">
        <v>0</v>
      </c>
      <c r="H15" s="34">
        <v>4000</v>
      </c>
      <c r="I15" s="34">
        <v>1273.5</v>
      </c>
      <c r="J15" s="34">
        <v>0</v>
      </c>
      <c r="K15" s="61">
        <f>+SUM(D15:J15)</f>
        <v>33673.5</v>
      </c>
      <c r="L15" s="36"/>
    </row>
    <row r="16" spans="1:31" s="5" customFormat="1" ht="21" customHeight="1" x14ac:dyDescent="0.25">
      <c r="A16" s="37"/>
      <c r="B16" s="42"/>
      <c r="C16" s="62">
        <v>2021</v>
      </c>
      <c r="D16" s="44">
        <v>50791</v>
      </c>
      <c r="E16" s="44">
        <v>7000</v>
      </c>
      <c r="F16" s="44">
        <v>0</v>
      </c>
      <c r="G16" s="44">
        <v>18200</v>
      </c>
      <c r="H16" s="44">
        <v>9500</v>
      </c>
      <c r="I16" s="44">
        <v>13104.5</v>
      </c>
      <c r="J16" s="44">
        <v>0</v>
      </c>
      <c r="K16" s="61">
        <f t="shared" ref="K16:K19" si="1">+SUM(D16:J16)</f>
        <v>98595.5</v>
      </c>
      <c r="L16" s="36"/>
    </row>
    <row r="17" spans="1:31" s="5" customFormat="1" ht="21" customHeight="1" x14ac:dyDescent="0.25">
      <c r="A17" s="37"/>
      <c r="B17" s="46"/>
      <c r="C17" s="63">
        <v>2022</v>
      </c>
      <c r="D17" s="34">
        <v>38000</v>
      </c>
      <c r="E17" s="34">
        <v>2500</v>
      </c>
      <c r="F17" s="34">
        <v>0</v>
      </c>
      <c r="G17" s="34">
        <v>3500</v>
      </c>
      <c r="H17" s="34">
        <v>15500</v>
      </c>
      <c r="I17" s="34">
        <v>12140</v>
      </c>
      <c r="J17" s="34">
        <v>0</v>
      </c>
      <c r="K17" s="61">
        <f t="shared" si="1"/>
        <v>71640</v>
      </c>
      <c r="L17" s="36"/>
    </row>
    <row r="18" spans="1:31" s="5" customFormat="1" ht="21" customHeight="1" x14ac:dyDescent="0.25">
      <c r="A18" s="37"/>
      <c r="B18" s="42"/>
      <c r="C18" s="62" t="s">
        <v>56</v>
      </c>
      <c r="D18" s="44">
        <v>71016.666666666657</v>
      </c>
      <c r="E18" s="44">
        <v>4900</v>
      </c>
      <c r="F18" s="44">
        <v>0</v>
      </c>
      <c r="G18" s="44">
        <v>5100</v>
      </c>
      <c r="H18" s="44">
        <v>18500</v>
      </c>
      <c r="I18" s="44">
        <v>10999.999999999998</v>
      </c>
      <c r="J18" s="44">
        <v>0</v>
      </c>
      <c r="K18" s="61">
        <f t="shared" si="1"/>
        <v>110516.66666666666</v>
      </c>
      <c r="L18" s="36"/>
    </row>
    <row r="19" spans="1:31" s="5" customFormat="1" ht="21" customHeight="1" x14ac:dyDescent="0.25">
      <c r="A19" s="37"/>
      <c r="B19" s="65"/>
      <c r="C19" s="66" t="s">
        <v>57</v>
      </c>
      <c r="D19" s="67">
        <v>99380.333325868691</v>
      </c>
      <c r="E19" s="67">
        <v>4900</v>
      </c>
      <c r="F19" s="67">
        <v>0</v>
      </c>
      <c r="G19" s="67">
        <v>4500</v>
      </c>
      <c r="H19" s="67">
        <v>18500</v>
      </c>
      <c r="I19" s="67">
        <v>16625.000000000004</v>
      </c>
      <c r="J19" s="67">
        <v>0</v>
      </c>
      <c r="K19" s="143">
        <f t="shared" si="1"/>
        <v>143905.33332586871</v>
      </c>
      <c r="L19" s="36"/>
    </row>
    <row r="20" spans="1:31" s="5" customFormat="1" ht="21" customHeight="1" x14ac:dyDescent="0.25">
      <c r="A20" s="37"/>
      <c r="B20" s="65"/>
      <c r="C20" s="66" t="s">
        <v>21</v>
      </c>
      <c r="D20" s="67">
        <v>284587.99999253533</v>
      </c>
      <c r="E20" s="67">
        <v>22300</v>
      </c>
      <c r="F20" s="67">
        <v>0</v>
      </c>
      <c r="G20" s="67">
        <v>31300</v>
      </c>
      <c r="H20" s="67">
        <v>66000</v>
      </c>
      <c r="I20" s="67">
        <v>54143</v>
      </c>
      <c r="J20" s="67">
        <f t="shared" ref="J20" si="2">+SUM(J15:J19)</f>
        <v>0</v>
      </c>
      <c r="K20" s="68">
        <f t="shared" ref="K16:K21" si="3">+SUM(D20:J20)</f>
        <v>458330.99999253533</v>
      </c>
      <c r="L20" s="36"/>
    </row>
    <row r="21" spans="1:31" ht="21" customHeight="1" thickBot="1" x14ac:dyDescent="0.3">
      <c r="B21" s="53"/>
      <c r="C21" s="69" t="s">
        <v>58</v>
      </c>
      <c r="D21" s="55">
        <v>63241.777776118965</v>
      </c>
      <c r="E21" s="55">
        <v>4955.5555555555557</v>
      </c>
      <c r="F21" s="55">
        <v>0</v>
      </c>
      <c r="G21" s="55">
        <v>6960</v>
      </c>
      <c r="H21" s="55">
        <v>14670</v>
      </c>
      <c r="I21" s="55">
        <v>12031.777777777777</v>
      </c>
      <c r="J21" s="55">
        <v>0</v>
      </c>
      <c r="K21" s="70">
        <f t="shared" si="3"/>
        <v>101859.11110945231</v>
      </c>
    </row>
    <row r="22" spans="1:31" ht="9" customHeight="1" x14ac:dyDescent="0.25"/>
    <row r="23" spans="1:31" ht="23.25" customHeight="1" x14ac:dyDescent="0.3">
      <c r="A23" s="35"/>
      <c r="B23" s="141" t="s">
        <v>83</v>
      </c>
      <c r="C23" s="142"/>
      <c r="D23" s="142"/>
      <c r="E23" s="142"/>
      <c r="F23" s="142"/>
      <c r="G23" s="142"/>
      <c r="H23" s="142"/>
      <c r="I23" s="142"/>
      <c r="J23" s="142"/>
      <c r="K23" s="142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</row>
    <row r="24" spans="1:31" ht="9" customHeight="1" thickBot="1" x14ac:dyDescent="0.3">
      <c r="A24" s="35"/>
      <c r="K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</row>
    <row r="25" spans="1:31" s="5" customFormat="1" ht="21" customHeight="1" x14ac:dyDescent="0.25">
      <c r="A25" s="37"/>
      <c r="B25" s="38"/>
      <c r="C25" s="39" t="s">
        <v>40</v>
      </c>
      <c r="D25" s="40" t="s">
        <v>41</v>
      </c>
      <c r="E25" s="40" t="s">
        <v>42</v>
      </c>
      <c r="F25" s="40" t="s">
        <v>43</v>
      </c>
      <c r="G25" s="40" t="s">
        <v>44</v>
      </c>
      <c r="H25" s="40" t="s">
        <v>45</v>
      </c>
      <c r="I25" s="40" t="s">
        <v>46</v>
      </c>
      <c r="J25" s="40" t="s">
        <v>47</v>
      </c>
      <c r="K25" s="41" t="s">
        <v>21</v>
      </c>
      <c r="L25" s="36"/>
    </row>
    <row r="26" spans="1:31" s="5" customFormat="1" ht="21" customHeight="1" x14ac:dyDescent="0.25">
      <c r="A26" s="37"/>
      <c r="B26" s="107"/>
      <c r="C26" s="80" t="s">
        <v>48</v>
      </c>
      <c r="D26" s="60">
        <f t="shared" ref="D26:K26" si="4">+ROUND(D5,-3)</f>
        <v>929000</v>
      </c>
      <c r="E26" s="60">
        <f t="shared" si="4"/>
        <v>69000</v>
      </c>
      <c r="F26" s="60">
        <f t="shared" si="4"/>
        <v>0</v>
      </c>
      <c r="G26" s="60">
        <f t="shared" si="4"/>
        <v>35000</v>
      </c>
      <c r="H26" s="60">
        <f t="shared" si="4"/>
        <v>682000</v>
      </c>
      <c r="I26" s="60">
        <f t="shared" si="4"/>
        <v>80000</v>
      </c>
      <c r="J26" s="60">
        <f t="shared" si="4"/>
        <v>0</v>
      </c>
      <c r="K26" s="108">
        <f t="shared" si="4"/>
        <v>1796000</v>
      </c>
      <c r="L26" s="36"/>
      <c r="M26" s="34"/>
    </row>
    <row r="27" spans="1:31" s="5" customFormat="1" ht="21" customHeight="1" x14ac:dyDescent="0.25">
      <c r="A27" s="37"/>
      <c r="B27" s="46"/>
      <c r="C27" s="47" t="s">
        <v>49</v>
      </c>
      <c r="D27" s="48">
        <f t="shared" ref="D27:E32" si="5">+ROUND(D6,-3)</f>
        <v>315000</v>
      </c>
      <c r="E27" s="48">
        <f t="shared" si="5"/>
        <v>23000</v>
      </c>
      <c r="F27" s="48">
        <f t="shared" ref="F27" si="6">+ROUND(F6,-3)</f>
        <v>0</v>
      </c>
      <c r="G27" s="48">
        <f t="shared" ref="G27:I27" si="7">+ROUND(G6,-3)</f>
        <v>25000</v>
      </c>
      <c r="H27" s="48">
        <f t="shared" si="7"/>
        <v>658000</v>
      </c>
      <c r="I27" s="48">
        <f t="shared" si="7"/>
        <v>80000</v>
      </c>
      <c r="J27" s="48">
        <f t="shared" ref="J27" si="8">+ROUND(J6,-3)</f>
        <v>0</v>
      </c>
      <c r="K27" s="49">
        <f t="shared" ref="K27:K32" si="9">+ROUND(K6,-3)</f>
        <v>1101000</v>
      </c>
      <c r="L27" s="36"/>
    </row>
    <row r="28" spans="1:31" s="5" customFormat="1" ht="21" customHeight="1" x14ac:dyDescent="0.25">
      <c r="A28" s="37"/>
      <c r="B28" s="42"/>
      <c r="C28" s="47" t="s">
        <v>50</v>
      </c>
      <c r="D28" s="48">
        <f t="shared" si="5"/>
        <v>614000</v>
      </c>
      <c r="E28" s="48">
        <f t="shared" si="5"/>
        <v>46000</v>
      </c>
      <c r="F28" s="48">
        <f t="shared" ref="F28" si="10">+ROUND(F7,-3)</f>
        <v>0</v>
      </c>
      <c r="G28" s="48">
        <f t="shared" ref="G28:I28" si="11">+ROUND(G7,-3)</f>
        <v>11000</v>
      </c>
      <c r="H28" s="48">
        <f t="shared" si="11"/>
        <v>24000</v>
      </c>
      <c r="I28" s="48">
        <f t="shared" si="11"/>
        <v>0</v>
      </c>
      <c r="J28" s="48">
        <f t="shared" ref="J28" si="12">+ROUND(J7,-3)</f>
        <v>0</v>
      </c>
      <c r="K28" s="49">
        <f t="shared" si="9"/>
        <v>695000</v>
      </c>
      <c r="L28" s="36"/>
    </row>
    <row r="29" spans="1:31" s="5" customFormat="1" ht="21" customHeight="1" x14ac:dyDescent="0.25">
      <c r="A29" s="37"/>
      <c r="B29" s="42"/>
      <c r="C29" s="43" t="s">
        <v>51</v>
      </c>
      <c r="D29" s="44">
        <f t="shared" si="5"/>
        <v>361000</v>
      </c>
      <c r="E29" s="44">
        <f t="shared" si="5"/>
        <v>112000</v>
      </c>
      <c r="F29" s="44">
        <f t="shared" ref="F29" si="13">+ROUND(F8,-3)</f>
        <v>0</v>
      </c>
      <c r="G29" s="44">
        <f t="shared" ref="G29:I29" si="14">+ROUND(G8,-3)</f>
        <v>105000</v>
      </c>
      <c r="H29" s="44">
        <f t="shared" si="14"/>
        <v>0</v>
      </c>
      <c r="I29" s="44">
        <f t="shared" si="14"/>
        <v>90000</v>
      </c>
      <c r="J29" s="44">
        <f t="shared" ref="J29" si="15">+ROUND(J8,-3)</f>
        <v>0</v>
      </c>
      <c r="K29" s="45">
        <f t="shared" si="9"/>
        <v>668000</v>
      </c>
      <c r="L29" s="36"/>
    </row>
    <row r="30" spans="1:31" s="5" customFormat="1" ht="21" customHeight="1" x14ac:dyDescent="0.25">
      <c r="A30" s="37"/>
      <c r="B30" s="42"/>
      <c r="C30" s="43" t="s">
        <v>52</v>
      </c>
      <c r="D30" s="44">
        <f t="shared" si="5"/>
        <v>1754000</v>
      </c>
      <c r="E30" s="44">
        <f t="shared" si="5"/>
        <v>92000</v>
      </c>
      <c r="F30" s="44">
        <f t="shared" ref="F30" si="16">+ROUND(F9,-3)</f>
        <v>0</v>
      </c>
      <c r="G30" s="44">
        <f t="shared" ref="G30:I30" si="17">+ROUND(G9,-3)</f>
        <v>192000</v>
      </c>
      <c r="H30" s="44">
        <f t="shared" si="17"/>
        <v>3000</v>
      </c>
      <c r="I30" s="44">
        <f t="shared" si="17"/>
        <v>74000</v>
      </c>
      <c r="J30" s="44">
        <f t="shared" ref="J30" si="18">+ROUND(J9,-3)</f>
        <v>0</v>
      </c>
      <c r="K30" s="45">
        <f t="shared" si="9"/>
        <v>2115000</v>
      </c>
      <c r="L30" s="36"/>
    </row>
    <row r="31" spans="1:31" s="5" customFormat="1" ht="21" customHeight="1" x14ac:dyDescent="0.25">
      <c r="A31" s="37"/>
      <c r="B31" s="42"/>
      <c r="C31" s="72" t="s">
        <v>59</v>
      </c>
      <c r="D31" s="48">
        <f t="shared" si="5"/>
        <v>1030000</v>
      </c>
      <c r="E31" s="48">
        <f t="shared" si="5"/>
        <v>69000</v>
      </c>
      <c r="F31" s="48">
        <f t="shared" ref="F31" si="19">+ROUND(F10,-3)</f>
        <v>0</v>
      </c>
      <c r="G31" s="48">
        <f t="shared" ref="G31:I31" si="20">+ROUND(G10,-3)</f>
        <v>107000</v>
      </c>
      <c r="H31" s="48">
        <f t="shared" si="20"/>
        <v>3000</v>
      </c>
      <c r="I31" s="48">
        <f t="shared" si="20"/>
        <v>0</v>
      </c>
      <c r="J31" s="48">
        <f t="shared" ref="J31" si="21">+ROUND(J10,-3)</f>
        <v>0</v>
      </c>
      <c r="K31" s="49">
        <f t="shared" si="9"/>
        <v>1209000</v>
      </c>
      <c r="L31" s="36"/>
    </row>
    <row r="32" spans="1:31" s="5" customFormat="1" ht="21" customHeight="1" x14ac:dyDescent="0.25">
      <c r="A32" s="37"/>
      <c r="B32" s="50"/>
      <c r="C32" s="73" t="s">
        <v>60</v>
      </c>
      <c r="D32" s="109">
        <f t="shared" si="5"/>
        <v>724000</v>
      </c>
      <c r="E32" s="109">
        <f t="shared" si="5"/>
        <v>23000</v>
      </c>
      <c r="F32" s="109">
        <f t="shared" ref="F32" si="22">+ROUND(F11,-3)</f>
        <v>0</v>
      </c>
      <c r="G32" s="109">
        <f t="shared" ref="G32:I32" si="23">+ROUND(G11,-3)</f>
        <v>85000</v>
      </c>
      <c r="H32" s="109">
        <f t="shared" si="23"/>
        <v>0</v>
      </c>
      <c r="I32" s="109">
        <f t="shared" si="23"/>
        <v>74000</v>
      </c>
      <c r="J32" s="109">
        <f t="shared" ref="J32" si="24">+ROUND(J11,-3)</f>
        <v>0</v>
      </c>
      <c r="K32" s="110">
        <f t="shared" si="9"/>
        <v>906000</v>
      </c>
      <c r="L32" s="36"/>
    </row>
    <row r="33" spans="1:13" s="5" customFormat="1" ht="21" customHeight="1" thickBot="1" x14ac:dyDescent="0.3">
      <c r="A33" s="37"/>
      <c r="B33" s="53"/>
      <c r="C33" s="54" t="s">
        <v>53</v>
      </c>
      <c r="D33" s="55">
        <f>D26+D29+D30</f>
        <v>3044000</v>
      </c>
      <c r="E33" s="55">
        <f t="shared" ref="E33:K33" si="25">E26+E29+E30</f>
        <v>273000</v>
      </c>
      <c r="F33" s="55">
        <f t="shared" si="25"/>
        <v>0</v>
      </c>
      <c r="G33" s="55">
        <f t="shared" si="25"/>
        <v>332000</v>
      </c>
      <c r="H33" s="55">
        <f t="shared" si="25"/>
        <v>685000</v>
      </c>
      <c r="I33" s="55">
        <f t="shared" si="25"/>
        <v>244000</v>
      </c>
      <c r="J33" s="55">
        <f>J26+J29+J30</f>
        <v>0</v>
      </c>
      <c r="K33" s="56">
        <f t="shared" si="25"/>
        <v>4579000</v>
      </c>
      <c r="L33" s="36"/>
      <c r="M33" s="34"/>
    </row>
    <row r="34" spans="1:13" s="5" customFormat="1" ht="9" customHeight="1" thickBot="1" x14ac:dyDescent="0.3">
      <c r="A34" s="37"/>
      <c r="C34"/>
      <c r="D34" s="34"/>
      <c r="E34" s="34"/>
      <c r="F34" s="34"/>
      <c r="G34" s="34"/>
      <c r="H34" s="34"/>
      <c r="I34" s="34"/>
      <c r="J34" s="34"/>
      <c r="K34" s="57"/>
      <c r="L34" s="36"/>
    </row>
    <row r="35" spans="1:13" s="5" customFormat="1" ht="21" customHeight="1" x14ac:dyDescent="0.25">
      <c r="A35" s="37"/>
      <c r="B35" s="38"/>
      <c r="C35" s="58" t="s">
        <v>54</v>
      </c>
      <c r="D35" s="40" t="s">
        <v>41</v>
      </c>
      <c r="E35" s="40" t="s">
        <v>42</v>
      </c>
      <c r="F35" s="40" t="s">
        <v>43</v>
      </c>
      <c r="G35" s="40" t="s">
        <v>44</v>
      </c>
      <c r="H35" s="40" t="s">
        <v>45</v>
      </c>
      <c r="I35" s="40" t="s">
        <v>46</v>
      </c>
      <c r="J35" s="40" t="s">
        <v>47</v>
      </c>
      <c r="K35" s="41" t="s">
        <v>21</v>
      </c>
      <c r="L35" s="36"/>
    </row>
    <row r="36" spans="1:13" s="5" customFormat="1" ht="21" customHeight="1" x14ac:dyDescent="0.25">
      <c r="A36" s="37"/>
      <c r="B36" s="46"/>
      <c r="C36" s="59" t="s">
        <v>55</v>
      </c>
      <c r="D36" s="34">
        <f>+ROUND(D15,-2)</f>
        <v>25400</v>
      </c>
      <c r="E36" s="60">
        <f t="shared" ref="E36:J36" si="26">+ROUND(E15,-2)</f>
        <v>3000</v>
      </c>
      <c r="F36" s="34">
        <f t="shared" si="26"/>
        <v>0</v>
      </c>
      <c r="G36" s="34">
        <f t="shared" si="26"/>
        <v>0</v>
      </c>
      <c r="H36" s="34">
        <f t="shared" si="26"/>
        <v>4000</v>
      </c>
      <c r="I36" s="34">
        <f t="shared" si="26"/>
        <v>1300</v>
      </c>
      <c r="J36" s="34">
        <f t="shared" si="26"/>
        <v>0</v>
      </c>
      <c r="K36" s="108">
        <f>+SUM(D36:J36)</f>
        <v>33700</v>
      </c>
      <c r="L36" s="36"/>
    </row>
    <row r="37" spans="1:13" s="5" customFormat="1" ht="21" customHeight="1" x14ac:dyDescent="0.25">
      <c r="A37" s="37"/>
      <c r="B37" s="42"/>
      <c r="C37" s="62">
        <v>2021</v>
      </c>
      <c r="D37" s="44">
        <f t="shared" ref="D37:K42" si="27">+ROUND(D16,-2)</f>
        <v>50800</v>
      </c>
      <c r="E37" s="44">
        <f t="shared" si="27"/>
        <v>7000</v>
      </c>
      <c r="F37" s="44">
        <f t="shared" si="27"/>
        <v>0</v>
      </c>
      <c r="G37" s="44">
        <f t="shared" si="27"/>
        <v>18200</v>
      </c>
      <c r="H37" s="44">
        <f t="shared" si="27"/>
        <v>9500</v>
      </c>
      <c r="I37" s="44">
        <f t="shared" si="27"/>
        <v>13100</v>
      </c>
      <c r="J37" s="44">
        <f t="shared" si="27"/>
        <v>0</v>
      </c>
      <c r="K37" s="61">
        <f t="shared" ref="K37:K40" si="28">+SUM(D37:J37)</f>
        <v>98600</v>
      </c>
      <c r="L37" s="36"/>
    </row>
    <row r="38" spans="1:13" s="5" customFormat="1" ht="21" customHeight="1" x14ac:dyDescent="0.25">
      <c r="A38" s="37"/>
      <c r="B38" s="46"/>
      <c r="C38" s="63">
        <v>2022</v>
      </c>
      <c r="D38" s="34">
        <f t="shared" si="27"/>
        <v>38000</v>
      </c>
      <c r="E38" s="34">
        <f t="shared" si="27"/>
        <v>2500</v>
      </c>
      <c r="F38" s="34">
        <f t="shared" si="27"/>
        <v>0</v>
      </c>
      <c r="G38" s="34">
        <f t="shared" si="27"/>
        <v>3500</v>
      </c>
      <c r="H38" s="34">
        <f t="shared" si="27"/>
        <v>15500</v>
      </c>
      <c r="I38" s="34">
        <f t="shared" si="27"/>
        <v>12100</v>
      </c>
      <c r="J38" s="34">
        <f t="shared" si="27"/>
        <v>0</v>
      </c>
      <c r="K38" s="64">
        <f t="shared" si="28"/>
        <v>71600</v>
      </c>
      <c r="L38" s="36"/>
    </row>
    <row r="39" spans="1:13" s="5" customFormat="1" ht="21" customHeight="1" x14ac:dyDescent="0.25">
      <c r="A39" s="37"/>
      <c r="B39" s="42"/>
      <c r="C39" s="62" t="s">
        <v>56</v>
      </c>
      <c r="D39" s="44">
        <f t="shared" si="27"/>
        <v>71000</v>
      </c>
      <c r="E39" s="44">
        <f t="shared" si="27"/>
        <v>4900</v>
      </c>
      <c r="F39" s="44">
        <f t="shared" si="27"/>
        <v>0</v>
      </c>
      <c r="G39" s="44">
        <f t="shared" si="27"/>
        <v>5100</v>
      </c>
      <c r="H39" s="44">
        <f t="shared" si="27"/>
        <v>18500</v>
      </c>
      <c r="I39" s="44">
        <f t="shared" si="27"/>
        <v>11000</v>
      </c>
      <c r="J39" s="44">
        <f t="shared" si="27"/>
        <v>0</v>
      </c>
      <c r="K39" s="61">
        <f t="shared" si="28"/>
        <v>110500</v>
      </c>
      <c r="L39" s="36"/>
    </row>
    <row r="40" spans="1:13" s="5" customFormat="1" ht="21" customHeight="1" x14ac:dyDescent="0.25">
      <c r="A40" s="37"/>
      <c r="B40" s="65"/>
      <c r="C40" s="66" t="s">
        <v>57</v>
      </c>
      <c r="D40" s="67">
        <f t="shared" si="27"/>
        <v>99400</v>
      </c>
      <c r="E40" s="67">
        <f t="shared" si="27"/>
        <v>4900</v>
      </c>
      <c r="F40" s="67">
        <f t="shared" si="27"/>
        <v>0</v>
      </c>
      <c r="G40" s="67">
        <f t="shared" si="27"/>
        <v>4500</v>
      </c>
      <c r="H40" s="67">
        <f t="shared" si="27"/>
        <v>18500</v>
      </c>
      <c r="I40" s="67">
        <f t="shared" si="27"/>
        <v>16600</v>
      </c>
      <c r="J40" s="67">
        <f t="shared" si="27"/>
        <v>0</v>
      </c>
      <c r="K40" s="68">
        <f t="shared" si="28"/>
        <v>143900</v>
      </c>
      <c r="L40" s="36"/>
    </row>
    <row r="41" spans="1:13" s="5" customFormat="1" ht="21" customHeight="1" x14ac:dyDescent="0.25">
      <c r="A41" s="37"/>
      <c r="B41" s="65"/>
      <c r="C41" s="66" t="s">
        <v>21</v>
      </c>
      <c r="D41" s="67">
        <f>+SUM(D36:D40)</f>
        <v>284600</v>
      </c>
      <c r="E41" s="67">
        <f t="shared" ref="E41:K41" si="29">+SUM(E36:E40)</f>
        <v>22300</v>
      </c>
      <c r="F41" s="67">
        <f t="shared" si="29"/>
        <v>0</v>
      </c>
      <c r="G41" s="67">
        <f t="shared" si="29"/>
        <v>31300</v>
      </c>
      <c r="H41" s="67">
        <f t="shared" si="29"/>
        <v>66000</v>
      </c>
      <c r="I41" s="67">
        <f t="shared" si="29"/>
        <v>54100</v>
      </c>
      <c r="J41" s="67">
        <f t="shared" si="29"/>
        <v>0</v>
      </c>
      <c r="K41" s="68">
        <f t="shared" si="29"/>
        <v>458300</v>
      </c>
      <c r="L41" s="36"/>
    </row>
    <row r="42" spans="1:13" ht="21" customHeight="1" thickBot="1" x14ac:dyDescent="0.3">
      <c r="B42" s="53"/>
      <c r="C42" s="69" t="s">
        <v>58</v>
      </c>
      <c r="D42" s="55">
        <f t="shared" si="27"/>
        <v>63200</v>
      </c>
      <c r="E42" s="55">
        <f t="shared" si="27"/>
        <v>5000</v>
      </c>
      <c r="F42" s="55">
        <f t="shared" si="27"/>
        <v>0</v>
      </c>
      <c r="G42" s="55">
        <f t="shared" si="27"/>
        <v>7000</v>
      </c>
      <c r="H42" s="55">
        <f t="shared" si="27"/>
        <v>14700</v>
      </c>
      <c r="I42" s="55">
        <f t="shared" si="27"/>
        <v>12000</v>
      </c>
      <c r="J42" s="55">
        <f t="shared" si="27"/>
        <v>0</v>
      </c>
      <c r="K42" s="70">
        <f t="shared" si="27"/>
        <v>101900</v>
      </c>
    </row>
    <row r="43" spans="1:13" ht="9" customHeight="1" x14ac:dyDescent="0.25"/>
  </sheetData>
  <mergeCells count="2">
    <mergeCell ref="B2:K2"/>
    <mergeCell ref="B23:K23"/>
  </mergeCells>
  <pageMargins left="0.7" right="0.7" top="0.75" bottom="0.75" header="0.3" footer="0.3"/>
  <pageSetup paperSize="9" orientation="portrait" r:id="rId1"/>
  <ignoredErrors>
    <ignoredError sqref="C18:C19 C39:C40" numberStoredAsText="1"/>
    <ignoredError sqref="D41:J41" formula="1"/>
    <ignoredError sqref="K16:K17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0EB5DE95584ED49A1412DCA98BEC004" ma:contentTypeVersion="16" ma:contentTypeDescription="Create a new document." ma:contentTypeScope="" ma:versionID="af097ad4dfc046e242e99c614f6ecf58">
  <xsd:schema xmlns:xsd="http://www.w3.org/2001/XMLSchema" xmlns:xs="http://www.w3.org/2001/XMLSchema" xmlns:p="http://schemas.microsoft.com/office/2006/metadata/properties" xmlns:ns2="7d04c2f1-7051-44ca-8416-42516407c904" xmlns:ns3="89074163-e594-4135-93f0-5b3a33345d41" targetNamespace="http://schemas.microsoft.com/office/2006/metadata/properties" ma:root="true" ma:fieldsID="ecaaad3de35a6674e44bd02a564c15a8" ns2:_="" ns3:_="">
    <xsd:import namespace="7d04c2f1-7051-44ca-8416-42516407c904"/>
    <xsd:import namespace="89074163-e594-4135-93f0-5b3a33345d4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d04c2f1-7051-44ca-8416-42516407c90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f715bc60-b03c-4543-a769-e47a16cd944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074163-e594-4135-93f0-5b3a33345d41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9794ab-d1bc-4439-8859-d76b29ffa7be}" ma:internalName="TaxCatchAll" ma:showField="CatchAllData" ma:web="89074163-e594-4135-93f0-5b3a33345d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d04c2f1-7051-44ca-8416-42516407c904">
      <Terms xmlns="http://schemas.microsoft.com/office/infopath/2007/PartnerControls"/>
    </lcf76f155ced4ddcb4097134ff3c332f>
    <TaxCatchAll xmlns="89074163-e594-4135-93f0-5b3a33345d4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190380D-824A-48F9-BED3-C307EA8A32EB}"/>
</file>

<file path=customXml/itemProps2.xml><?xml version="1.0" encoding="utf-8"?>
<ds:datastoreItem xmlns:ds="http://schemas.openxmlformats.org/officeDocument/2006/customXml" ds:itemID="{54A94A6F-FC27-4302-854D-7B3464296C03}">
  <ds:schemaRefs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www.w3.org/XML/1998/namespace"/>
    <ds:schemaRef ds:uri="2cf7a10c-b9dc-432b-9424-3bf6913679d9"/>
    <ds:schemaRef ds:uri="http://purl.org/dc/terms/"/>
    <ds:schemaRef ds:uri="fa0da59c-5e20-4dc5-a7d8-b2dc70fba579"/>
    <ds:schemaRef ds:uri="14bfd2bb-3d4a-4549-9197-f3410a8da64b"/>
    <ds:schemaRef ds:uri="abbeec68-b05e-4e2e-88e5-2ac3e13fe809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7CD6295-19D8-4DCB-8FCB-F546C191B37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THROUNARAÆTLUN ATV</vt:lpstr>
      <vt:lpstr>ALLT ATVHUSN</vt:lpstr>
      <vt:lpstr>VERSL_OG_SKRIFSTH</vt:lpstr>
      <vt:lpstr>IÐN_OG_VÖRUGEY</vt:lpstr>
      <vt:lpstr>SERHÆFT</vt:lpstr>
      <vt:lpstr>grunnur</vt:lpstr>
      <vt:lpstr>samantekt skapalóna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Samúel Torfi Pétursson</dc:creator>
  <cp:lastModifiedBy>Samúel Torfi Pétursson</cp:lastModifiedBy>
  <dcterms:created xsi:type="dcterms:W3CDTF">2020-09-30T10:17:15Z</dcterms:created>
  <dcterms:modified xsi:type="dcterms:W3CDTF">2021-01-13T11:14:59Z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0x010100F0EB5DE95584ED49A1412DCA98BEC004</vt:lpwstr>
  </property>
</Properties>
</file>