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his.sharepoint.com/sites/Sameign/Shared Documents/09_SKIPULAGS-OG_BYGGINGAMAL NYTT/09-4_Innleiding_SSK/09-45_SSK_Þróunaráætlanir/Þróunaráætlun 2020-2024/Vefur/Vefur_sett_inn_6_4_2022/"/>
    </mc:Choice>
  </mc:AlternateContent>
  <xr:revisionPtr revIDLastSave="0" documentId="8_{230E1E45-2F91-493E-9251-893009532478}" xr6:coauthVersionLast="47" xr6:coauthVersionMax="47" xr10:uidLastSave="{00000000-0000-0000-0000-000000000000}"/>
  <bookViews>
    <workbookView xWindow="645" yWindow="765" windowWidth="21315" windowHeight="13440" activeTab="2" xr2:uid="{AE76EA78-CAC8-4676-B9DF-6992EF202AC1}"/>
  </bookViews>
  <sheets>
    <sheet name="YFIRLIT HELSTU SVÆDI" sheetId="7" r:id="rId1"/>
    <sheet name="YFIRLIT RVK" sheetId="6" r:id="rId2"/>
    <sheet name="RVK ÍBUDARHUSNÆDI" sheetId="8" r:id="rId3"/>
    <sheet name="RVK ANNAD HUSNÆDI" sheetId="3" r:id="rId4"/>
    <sheet name="RVK SVÆDI" sheetId="2" r:id="rId5"/>
    <sheet name="RVK ÍB20" sheetId="4" r:id="rId6"/>
    <sheet name="RVK AT20" sheetId="10" r:id="rId7"/>
    <sheet name="RVK ÍB19" sheetId="5" r:id="rId8"/>
  </sheets>
  <definedNames>
    <definedName name="_xlnm._FilterDatabase" localSheetId="3" hidden="1">'RVK ANNAD HUSNÆDI'!$B$25:$J$235</definedName>
    <definedName name="_xlnm._FilterDatabase" localSheetId="6" hidden="1">'RVK AT20'!$C$25:$K$218</definedName>
    <definedName name="_xlnm._FilterDatabase" localSheetId="5" hidden="1">'RVK ÍB20'!$D$26:$F$218</definedName>
    <definedName name="_xlnm._FilterDatabase" localSheetId="2" hidden="1">'RVK ÍBUDARHUSNÆDI'!$D$26:$F$236</definedName>
    <definedName name="_xlnm._FilterDatabase" localSheetId="4" hidden="1">'RVK SVÆDI'!$D$3:$F$207</definedName>
    <definedName name="_xlnm.Print_Area" localSheetId="7">'RVK ÍB19'!$B$1:$R$148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0" i="2" l="1"/>
  <c r="D222" i="3" s="1"/>
  <c r="J222" i="3" s="1"/>
  <c r="C223" i="8"/>
  <c r="E223" i="8"/>
  <c r="F223" i="8"/>
  <c r="C222" i="3"/>
  <c r="E222" i="3"/>
  <c r="F222" i="3"/>
  <c r="H224" i="3"/>
  <c r="H206" i="3"/>
  <c r="C127" i="3"/>
  <c r="E127" i="3"/>
  <c r="F127" i="3"/>
  <c r="C216" i="3"/>
  <c r="E216" i="3"/>
  <c r="F216" i="3"/>
  <c r="P217" i="8"/>
  <c r="M217" i="8"/>
  <c r="J217" i="8"/>
  <c r="D194" i="2"/>
  <c r="D216" i="3" s="1"/>
  <c r="E217" i="8"/>
  <c r="F217" i="8"/>
  <c r="C217" i="8"/>
  <c r="C195" i="3"/>
  <c r="E195" i="3"/>
  <c r="F195" i="3"/>
  <c r="Z162" i="8"/>
  <c r="D81" i="2"/>
  <c r="J53" i="8"/>
  <c r="E53" i="8"/>
  <c r="F53" i="8"/>
  <c r="C53" i="8"/>
  <c r="D30" i="2"/>
  <c r="D52" i="3" s="1"/>
  <c r="E52" i="3"/>
  <c r="F52" i="3"/>
  <c r="C52" i="3"/>
  <c r="J52" i="8"/>
  <c r="P44" i="3"/>
  <c r="M44" i="3"/>
  <c r="E40" i="3"/>
  <c r="F40" i="3"/>
  <c r="C40" i="3"/>
  <c r="J40" i="8"/>
  <c r="C40" i="8"/>
  <c r="E40" i="8"/>
  <c r="F40" i="8"/>
  <c r="D17" i="2"/>
  <c r="D40" i="3" s="1"/>
  <c r="D18" i="2"/>
  <c r="D19" i="2"/>
  <c r="V219" i="10"/>
  <c r="U219" i="10"/>
  <c r="T219" i="10"/>
  <c r="S219" i="10"/>
  <c r="R219" i="10"/>
  <c r="K217" i="10"/>
  <c r="Q216" i="10"/>
  <c r="N216" i="10"/>
  <c r="K216" i="10"/>
  <c r="K215" i="10"/>
  <c r="K214" i="10"/>
  <c r="K213" i="10"/>
  <c r="Q212" i="10"/>
  <c r="N212" i="10"/>
  <c r="K212" i="10"/>
  <c r="Q209" i="10"/>
  <c r="N209" i="10"/>
  <c r="K209" i="10"/>
  <c r="Q208" i="10"/>
  <c r="N208" i="10"/>
  <c r="K208" i="10"/>
  <c r="K207" i="10"/>
  <c r="Q206" i="10"/>
  <c r="N206" i="10"/>
  <c r="K206" i="10"/>
  <c r="K205" i="10"/>
  <c r="Q204" i="10"/>
  <c r="N204" i="10"/>
  <c r="K204" i="10"/>
  <c r="Q203" i="10"/>
  <c r="N203" i="10"/>
  <c r="K203" i="10"/>
  <c r="Q202" i="10"/>
  <c r="N202" i="10"/>
  <c r="K202" i="10"/>
  <c r="Q197" i="10"/>
  <c r="N197" i="10"/>
  <c r="K197" i="10"/>
  <c r="Q195" i="10"/>
  <c r="N195" i="10"/>
  <c r="K195" i="10"/>
  <c r="Q194" i="10"/>
  <c r="N194" i="10"/>
  <c r="K194" i="10"/>
  <c r="Q193" i="10"/>
  <c r="N193" i="10"/>
  <c r="K193" i="10"/>
  <c r="Q192" i="10"/>
  <c r="N192" i="10"/>
  <c r="K192" i="10"/>
  <c r="K191" i="10"/>
  <c r="Q190" i="10"/>
  <c r="N190" i="10"/>
  <c r="K190" i="10"/>
  <c r="Q189" i="10"/>
  <c r="N189" i="10"/>
  <c r="K189" i="10"/>
  <c r="Q188" i="10"/>
  <c r="N188" i="10"/>
  <c r="K188" i="10"/>
  <c r="Q185" i="10"/>
  <c r="N185" i="10"/>
  <c r="K185" i="10"/>
  <c r="Q182" i="10"/>
  <c r="N182" i="10"/>
  <c r="K182" i="10"/>
  <c r="H182" i="10"/>
  <c r="H13" i="10" s="1"/>
  <c r="H13" i="3" s="1"/>
  <c r="Q181" i="10"/>
  <c r="N181" i="10"/>
  <c r="K181" i="10"/>
  <c r="K180" i="10"/>
  <c r="Q179" i="10"/>
  <c r="N179" i="10"/>
  <c r="K179" i="10"/>
  <c r="K169" i="10"/>
  <c r="K168" i="10"/>
  <c r="Q167" i="10"/>
  <c r="N167" i="10"/>
  <c r="K167" i="10"/>
  <c r="Q166" i="10"/>
  <c r="N166" i="10"/>
  <c r="K166" i="10"/>
  <c r="K165" i="10"/>
  <c r="Q154" i="10"/>
  <c r="N154" i="10"/>
  <c r="K154" i="10"/>
  <c r="Q153" i="10"/>
  <c r="N153" i="10"/>
  <c r="K153" i="10"/>
  <c r="Q152" i="10"/>
  <c r="N152" i="10"/>
  <c r="K152" i="10"/>
  <c r="Q150" i="10"/>
  <c r="N150" i="10"/>
  <c r="K150" i="10"/>
  <c r="Q148" i="10"/>
  <c r="N148" i="10"/>
  <c r="K148" i="10"/>
  <c r="K147" i="10"/>
  <c r="K146" i="10"/>
  <c r="Q145" i="10"/>
  <c r="N145" i="10"/>
  <c r="K145" i="10"/>
  <c r="K142" i="10"/>
  <c r="Q140" i="10"/>
  <c r="N140" i="10"/>
  <c r="K140" i="10"/>
  <c r="Q139" i="10"/>
  <c r="N139" i="10"/>
  <c r="K139" i="10"/>
  <c r="H139" i="10"/>
  <c r="K132" i="10"/>
  <c r="K125" i="10"/>
  <c r="Q124" i="10"/>
  <c r="N124" i="10"/>
  <c r="K124" i="10"/>
  <c r="Q123" i="10"/>
  <c r="N123" i="10"/>
  <c r="K123" i="10"/>
  <c r="K122" i="10"/>
  <c r="Q120" i="10"/>
  <c r="N120" i="10"/>
  <c r="K120" i="10"/>
  <c r="Q119" i="10"/>
  <c r="N119" i="10"/>
  <c r="K119" i="10"/>
  <c r="H119" i="10"/>
  <c r="K117" i="10"/>
  <c r="K115" i="10"/>
  <c r="Q114" i="10"/>
  <c r="N114" i="10"/>
  <c r="K114" i="10"/>
  <c r="Q112" i="10"/>
  <c r="N112" i="10"/>
  <c r="K112" i="10"/>
  <c r="Q111" i="10"/>
  <c r="N111" i="10"/>
  <c r="K111" i="10"/>
  <c r="Q110" i="10"/>
  <c r="N110" i="10"/>
  <c r="K110" i="10"/>
  <c r="Q109" i="10"/>
  <c r="N109" i="10"/>
  <c r="K109" i="10"/>
  <c r="Q108" i="10"/>
  <c r="N108" i="10"/>
  <c r="K108" i="10"/>
  <c r="Q107" i="10"/>
  <c r="N107" i="10"/>
  <c r="K107" i="10"/>
  <c r="K105" i="10"/>
  <c r="J102" i="10"/>
  <c r="K102" i="10" s="1"/>
  <c r="Q99" i="10"/>
  <c r="N99" i="10"/>
  <c r="K99" i="10"/>
  <c r="H99" i="10"/>
  <c r="K98" i="10"/>
  <c r="Q97" i="10"/>
  <c r="N97" i="10"/>
  <c r="K97" i="10"/>
  <c r="Q96" i="10"/>
  <c r="N96" i="10"/>
  <c r="K96" i="10"/>
  <c r="Q95" i="10"/>
  <c r="N95" i="10"/>
  <c r="K95" i="10"/>
  <c r="H95" i="10"/>
  <c r="Q94" i="10"/>
  <c r="N94" i="10"/>
  <c r="K94" i="10"/>
  <c r="H94" i="10"/>
  <c r="Q93" i="10"/>
  <c r="N93" i="10"/>
  <c r="K93" i="10"/>
  <c r="Q87" i="10"/>
  <c r="N87" i="10"/>
  <c r="K87" i="10"/>
  <c r="Q86" i="10"/>
  <c r="N86" i="10"/>
  <c r="K86" i="10"/>
  <c r="Q85" i="10"/>
  <c r="N85" i="10"/>
  <c r="K85" i="10"/>
  <c r="Q84" i="10"/>
  <c r="N84" i="10"/>
  <c r="K84" i="10"/>
  <c r="Q82" i="10"/>
  <c r="N82" i="10"/>
  <c r="K82" i="10"/>
  <c r="Q81" i="10"/>
  <c r="N81" i="10"/>
  <c r="J81" i="10"/>
  <c r="K81" i="10" s="1"/>
  <c r="Q80" i="10"/>
  <c r="N80" i="10"/>
  <c r="J80" i="10"/>
  <c r="K80" i="10" s="1"/>
  <c r="Q79" i="10"/>
  <c r="N79" i="10"/>
  <c r="K79" i="10"/>
  <c r="Q78" i="10"/>
  <c r="N78" i="10"/>
  <c r="K78" i="10"/>
  <c r="Q77" i="10"/>
  <c r="N77" i="10"/>
  <c r="K77" i="10"/>
  <c r="K76" i="10"/>
  <c r="Q75" i="10"/>
  <c r="N75" i="10"/>
  <c r="K75" i="10"/>
  <c r="Q74" i="10"/>
  <c r="N74" i="10"/>
  <c r="K74" i="10"/>
  <c r="Q73" i="10"/>
  <c r="N73" i="10"/>
  <c r="K73" i="10"/>
  <c r="H73" i="10"/>
  <c r="Q72" i="10"/>
  <c r="N72" i="10"/>
  <c r="K72" i="10"/>
  <c r="Q71" i="10"/>
  <c r="N71" i="10"/>
  <c r="K71" i="10"/>
  <c r="Q70" i="10"/>
  <c r="N70" i="10"/>
  <c r="K70" i="10"/>
  <c r="Q68" i="10"/>
  <c r="N68" i="10"/>
  <c r="J68" i="10"/>
  <c r="J67" i="10"/>
  <c r="K67" i="10" s="1"/>
  <c r="Q63" i="10"/>
  <c r="N63" i="10"/>
  <c r="K63" i="10"/>
  <c r="H63" i="10"/>
  <c r="Q61" i="10"/>
  <c r="N61" i="10"/>
  <c r="K61" i="10"/>
  <c r="Q60" i="10"/>
  <c r="N60" i="10"/>
  <c r="K60" i="10"/>
  <c r="Q59" i="10"/>
  <c r="N59" i="10"/>
  <c r="K59" i="10"/>
  <c r="Q58" i="10"/>
  <c r="N58" i="10"/>
  <c r="K58" i="10"/>
  <c r="K57" i="10"/>
  <c r="J56" i="10"/>
  <c r="K56" i="10" s="1"/>
  <c r="Q55" i="10"/>
  <c r="N55" i="10"/>
  <c r="K55" i="10"/>
  <c r="K54" i="10"/>
  <c r="K53" i="10"/>
  <c r="K52" i="10"/>
  <c r="K51" i="10"/>
  <c r="Q49" i="10"/>
  <c r="N49" i="10"/>
  <c r="K49" i="10"/>
  <c r="Q46" i="10"/>
  <c r="N46" i="10"/>
  <c r="K46" i="10"/>
  <c r="K45" i="10"/>
  <c r="Q43" i="10"/>
  <c r="N43" i="10"/>
  <c r="K43" i="10"/>
  <c r="K41" i="10"/>
  <c r="K39" i="10"/>
  <c r="Q38" i="10"/>
  <c r="N38" i="10"/>
  <c r="K38" i="10"/>
  <c r="H38" i="10"/>
  <c r="H10" i="10" s="1"/>
  <c r="H10" i="3" s="1"/>
  <c r="Q37" i="10"/>
  <c r="N37" i="10"/>
  <c r="K37" i="10"/>
  <c r="K36" i="10"/>
  <c r="Q34" i="10"/>
  <c r="N34" i="10"/>
  <c r="K34" i="10"/>
  <c r="Q33" i="10"/>
  <c r="N33" i="10"/>
  <c r="K33" i="10"/>
  <c r="Q30" i="10"/>
  <c r="N30" i="10"/>
  <c r="K30" i="10"/>
  <c r="Q29" i="10"/>
  <c r="N29" i="10"/>
  <c r="K29" i="10"/>
  <c r="Q28" i="10"/>
  <c r="N28" i="10"/>
  <c r="K28" i="10"/>
  <c r="W27" i="10"/>
  <c r="X27" i="10" s="1"/>
  <c r="K27" i="10"/>
  <c r="H5" i="10"/>
  <c r="H5" i="3" s="1"/>
  <c r="U55" i="10" l="1"/>
  <c r="U59" i="10"/>
  <c r="H12" i="10"/>
  <c r="H12" i="3" s="1"/>
  <c r="U209" i="10"/>
  <c r="U68" i="10"/>
  <c r="V72" i="10"/>
  <c r="U182" i="10"/>
  <c r="T185" i="10"/>
  <c r="U193" i="10"/>
  <c r="U202" i="10"/>
  <c r="T111" i="10"/>
  <c r="U166" i="10"/>
  <c r="U179" i="10"/>
  <c r="V212" i="10"/>
  <c r="R216" i="10"/>
  <c r="W216" i="10" s="1"/>
  <c r="V28" i="10"/>
  <c r="V34" i="10"/>
  <c r="V81" i="10"/>
  <c r="V97" i="10"/>
  <c r="U109" i="10"/>
  <c r="U114" i="10"/>
  <c r="U124" i="10"/>
  <c r="V145" i="10"/>
  <c r="R82" i="10"/>
  <c r="W82" i="10" s="1"/>
  <c r="V29" i="10"/>
  <c r="U30" i="10"/>
  <c r="V94" i="10"/>
  <c r="U110" i="10"/>
  <c r="U150" i="10"/>
  <c r="U206" i="10"/>
  <c r="V208" i="10"/>
  <c r="V75" i="10"/>
  <c r="U78" i="10"/>
  <c r="V43" i="10"/>
  <c r="T120" i="10"/>
  <c r="T123" i="10"/>
  <c r="T140" i="10"/>
  <c r="R145" i="10"/>
  <c r="W145" i="10" s="1"/>
  <c r="R28" i="10"/>
  <c r="W28" i="10" s="1"/>
  <c r="T30" i="10"/>
  <c r="U33" i="10"/>
  <c r="V37" i="10"/>
  <c r="U38" i="10"/>
  <c r="T49" i="10"/>
  <c r="U58" i="10"/>
  <c r="T61" i="10"/>
  <c r="V63" i="10"/>
  <c r="U77" i="10"/>
  <c r="U82" i="10"/>
  <c r="U93" i="10"/>
  <c r="V154" i="10"/>
  <c r="V167" i="10"/>
  <c r="T195" i="10"/>
  <c r="U60" i="10"/>
  <c r="U119" i="10"/>
  <c r="U139" i="10"/>
  <c r="U145" i="10"/>
  <c r="T167" i="10"/>
  <c r="R212" i="10"/>
  <c r="W212" i="10" s="1"/>
  <c r="V79" i="10"/>
  <c r="U80" i="10"/>
  <c r="V82" i="10"/>
  <c r="U87" i="10"/>
  <c r="U194" i="10"/>
  <c r="T208" i="10"/>
  <c r="T204" i="10"/>
  <c r="V216" i="10"/>
  <c r="R38" i="10"/>
  <c r="W38" i="10" s="1"/>
  <c r="V55" i="10"/>
  <c r="S58" i="10"/>
  <c r="R59" i="10"/>
  <c r="W59" i="10" s="1"/>
  <c r="V61" i="10"/>
  <c r="U63" i="10"/>
  <c r="R68" i="10"/>
  <c r="W68" i="10" s="1"/>
  <c r="T74" i="10"/>
  <c r="V86" i="10"/>
  <c r="R87" i="10"/>
  <c r="W87" i="10" s="1"/>
  <c r="V108" i="10"/>
  <c r="R109" i="10"/>
  <c r="W109" i="10" s="1"/>
  <c r="U111" i="10"/>
  <c r="V112" i="10"/>
  <c r="R114" i="10"/>
  <c r="W114" i="10" s="1"/>
  <c r="R119" i="10"/>
  <c r="W119" i="10" s="1"/>
  <c r="U123" i="10"/>
  <c r="V140" i="10"/>
  <c r="T145" i="10"/>
  <c r="V148" i="10"/>
  <c r="R150" i="10"/>
  <c r="W150" i="10" s="1"/>
  <c r="U189" i="10"/>
  <c r="T29" i="10"/>
  <c r="R33" i="10"/>
  <c r="W33" i="10" s="1"/>
  <c r="R29" i="10"/>
  <c r="W29" i="10" s="1"/>
  <c r="V33" i="10"/>
  <c r="U34" i="10"/>
  <c r="V38" i="10"/>
  <c r="V59" i="10"/>
  <c r="R63" i="10"/>
  <c r="W63" i="10" s="1"/>
  <c r="V68" i="10"/>
  <c r="V87" i="10"/>
  <c r="V109" i="10"/>
  <c r="V114" i="10"/>
  <c r="V119" i="10"/>
  <c r="R123" i="10"/>
  <c r="W123" i="10" s="1"/>
  <c r="V150" i="10"/>
  <c r="V181" i="10"/>
  <c r="V185" i="10"/>
  <c r="V188" i="10"/>
  <c r="R189" i="10"/>
  <c r="W189" i="10" s="1"/>
  <c r="V192" i="10"/>
  <c r="R193" i="10"/>
  <c r="W193" i="10" s="1"/>
  <c r="V195" i="10"/>
  <c r="V197" i="10"/>
  <c r="R202" i="10"/>
  <c r="W202" i="10" s="1"/>
  <c r="R206" i="10"/>
  <c r="W206" i="10" s="1"/>
  <c r="V209" i="10"/>
  <c r="U212" i="10"/>
  <c r="U216" i="10"/>
  <c r="H9" i="10"/>
  <c r="H9" i="3" s="1"/>
  <c r="U28" i="10"/>
  <c r="U29" i="10"/>
  <c r="R34" i="10"/>
  <c r="W34" i="10" s="1"/>
  <c r="T37" i="10"/>
  <c r="U43" i="10"/>
  <c r="S55" i="10"/>
  <c r="V58" i="10"/>
  <c r="T71" i="10"/>
  <c r="U72" i="10"/>
  <c r="T78" i="10"/>
  <c r="T87" i="10"/>
  <c r="T109" i="10"/>
  <c r="T114" i="10"/>
  <c r="T119" i="10"/>
  <c r="V123" i="10"/>
  <c r="T153" i="10"/>
  <c r="V189" i="10"/>
  <c r="V193" i="10"/>
  <c r="V202" i="10"/>
  <c r="V206" i="10"/>
  <c r="H6" i="10"/>
  <c r="H6" i="3" s="1"/>
  <c r="K68" i="10"/>
  <c r="H8" i="10" s="1"/>
  <c r="T70" i="10"/>
  <c r="V70" i="10"/>
  <c r="R70" i="10"/>
  <c r="W70" i="10" s="1"/>
  <c r="V96" i="10"/>
  <c r="R96" i="10"/>
  <c r="W96" i="10" s="1"/>
  <c r="T96" i="10"/>
  <c r="S208" i="10"/>
  <c r="S204" i="10"/>
  <c r="S195" i="10"/>
  <c r="S185" i="10"/>
  <c r="S167" i="10"/>
  <c r="S153" i="10"/>
  <c r="S140" i="10"/>
  <c r="S120" i="10"/>
  <c r="S203" i="10"/>
  <c r="S194" i="10"/>
  <c r="S190" i="10"/>
  <c r="S182" i="10"/>
  <c r="S179" i="10"/>
  <c r="S166" i="10"/>
  <c r="S152" i="10"/>
  <c r="S139" i="10"/>
  <c r="S124" i="10"/>
  <c r="S216" i="10"/>
  <c r="S212" i="10"/>
  <c r="S206" i="10"/>
  <c r="S202" i="10"/>
  <c r="S193" i="10"/>
  <c r="S189" i="10"/>
  <c r="S150" i="10"/>
  <c r="S145" i="10"/>
  <c r="S123" i="10"/>
  <c r="S192" i="10"/>
  <c r="S154" i="10"/>
  <c r="S111" i="10"/>
  <c r="S107" i="10"/>
  <c r="S99" i="10"/>
  <c r="S96" i="10"/>
  <c r="S85" i="10"/>
  <c r="S78" i="10"/>
  <c r="S110" i="10"/>
  <c r="S95" i="10"/>
  <c r="S93" i="10"/>
  <c r="S84" i="10"/>
  <c r="S80" i="10"/>
  <c r="S77" i="10"/>
  <c r="S197" i="10"/>
  <c r="S188" i="10"/>
  <c r="S148" i="10"/>
  <c r="S119" i="10"/>
  <c r="S114" i="10"/>
  <c r="S109" i="10"/>
  <c r="S87" i="10"/>
  <c r="S82" i="10"/>
  <c r="S209" i="10"/>
  <c r="S108" i="10"/>
  <c r="S97" i="10"/>
  <c r="S74" i="10"/>
  <c r="S71" i="10"/>
  <c r="S61" i="10"/>
  <c r="S49" i="10"/>
  <c r="S37" i="10"/>
  <c r="S30" i="10"/>
  <c r="S94" i="10"/>
  <c r="S81" i="10"/>
  <c r="S75" i="10"/>
  <c r="S73" i="10"/>
  <c r="S70" i="10"/>
  <c r="S60" i="10"/>
  <c r="S46" i="10"/>
  <c r="S29" i="10"/>
  <c r="S181" i="10"/>
  <c r="S112" i="10"/>
  <c r="S79" i="10"/>
  <c r="S68" i="10"/>
  <c r="S63" i="10"/>
  <c r="S59" i="10"/>
  <c r="S38" i="10"/>
  <c r="S34" i="10"/>
  <c r="T46" i="10"/>
  <c r="V46" i="10"/>
  <c r="R46" i="10"/>
  <c r="W46" i="10" s="1"/>
  <c r="U70" i="10"/>
  <c r="V71" i="10"/>
  <c r="T73" i="10"/>
  <c r="V73" i="10"/>
  <c r="R73" i="10"/>
  <c r="W73" i="10" s="1"/>
  <c r="V30" i="10"/>
  <c r="R30" i="10"/>
  <c r="W30" i="10" s="1"/>
  <c r="U46" i="10"/>
  <c r="V49" i="10"/>
  <c r="U73" i="10"/>
  <c r="T95" i="10"/>
  <c r="V95" i="10"/>
  <c r="R95" i="10"/>
  <c r="W95" i="10" s="1"/>
  <c r="U95" i="10"/>
  <c r="S28" i="10"/>
  <c r="S33" i="10"/>
  <c r="S43" i="10"/>
  <c r="T60" i="10"/>
  <c r="V60" i="10"/>
  <c r="R60" i="10"/>
  <c r="W60" i="10" s="1"/>
  <c r="S72" i="10"/>
  <c r="T75" i="10"/>
  <c r="U75" i="10"/>
  <c r="R75" i="10"/>
  <c r="W75" i="10" s="1"/>
  <c r="S86" i="10"/>
  <c r="V107" i="10"/>
  <c r="R107" i="10"/>
  <c r="W107" i="10" s="1"/>
  <c r="T107" i="10"/>
  <c r="T203" i="10"/>
  <c r="V203" i="10"/>
  <c r="R203" i="10"/>
  <c r="W203" i="10" s="1"/>
  <c r="U203" i="10"/>
  <c r="T33" i="10"/>
  <c r="U37" i="10"/>
  <c r="T43" i="10"/>
  <c r="U49" i="10"/>
  <c r="T55" i="10"/>
  <c r="T58" i="10"/>
  <c r="U61" i="10"/>
  <c r="U71" i="10"/>
  <c r="T72" i="10"/>
  <c r="U74" i="10"/>
  <c r="V74" i="10"/>
  <c r="T84" i="10"/>
  <c r="V84" i="10"/>
  <c r="R84" i="10"/>
  <c r="W84" i="10" s="1"/>
  <c r="V85" i="10"/>
  <c r="R85" i="10"/>
  <c r="W85" i="10" s="1"/>
  <c r="U96" i="10"/>
  <c r="V99" i="10"/>
  <c r="R99" i="10"/>
  <c r="W99" i="10" s="1"/>
  <c r="U107" i="10"/>
  <c r="T152" i="10"/>
  <c r="V152" i="10"/>
  <c r="R152" i="10"/>
  <c r="W152" i="10" s="1"/>
  <c r="U152" i="10"/>
  <c r="T28" i="10"/>
  <c r="T34" i="10"/>
  <c r="R37" i="10"/>
  <c r="W37" i="10" s="1"/>
  <c r="T38" i="10"/>
  <c r="R49" i="10"/>
  <c r="W49" i="10" s="1"/>
  <c r="T59" i="10"/>
  <c r="R61" i="10"/>
  <c r="W61" i="10" s="1"/>
  <c r="T63" i="10"/>
  <c r="T68" i="10"/>
  <c r="R71" i="10"/>
  <c r="W71" i="10" s="1"/>
  <c r="R74" i="10"/>
  <c r="W74" i="10" s="1"/>
  <c r="T77" i="10"/>
  <c r="V77" i="10"/>
  <c r="R77" i="10"/>
  <c r="W77" i="10" s="1"/>
  <c r="V78" i="10"/>
  <c r="R78" i="10"/>
  <c r="W78" i="10" s="1"/>
  <c r="U84" i="10"/>
  <c r="U85" i="10"/>
  <c r="U99" i="10"/>
  <c r="T110" i="10"/>
  <c r="V110" i="10"/>
  <c r="R110" i="10"/>
  <c r="W110" i="10" s="1"/>
  <c r="V111" i="10"/>
  <c r="R111" i="10"/>
  <c r="W111" i="10" s="1"/>
  <c r="T190" i="10"/>
  <c r="V190" i="10"/>
  <c r="R190" i="10"/>
  <c r="W190" i="10" s="1"/>
  <c r="U190" i="10"/>
  <c r="R43" i="10"/>
  <c r="W43" i="10" s="1"/>
  <c r="R55" i="10"/>
  <c r="W55" i="10" s="1"/>
  <c r="R58" i="10"/>
  <c r="W58" i="10" s="1"/>
  <c r="R72" i="10"/>
  <c r="W72" i="10" s="1"/>
  <c r="T80" i="10"/>
  <c r="V80" i="10"/>
  <c r="R80" i="10"/>
  <c r="W80" i="10" s="1"/>
  <c r="T85" i="10"/>
  <c r="T93" i="10"/>
  <c r="V93" i="10"/>
  <c r="R93" i="10"/>
  <c r="W93" i="10" s="1"/>
  <c r="T99" i="10"/>
  <c r="T79" i="10"/>
  <c r="T81" i="10"/>
  <c r="T86" i="10"/>
  <c r="T94" i="10"/>
  <c r="T97" i="10"/>
  <c r="T108" i="10"/>
  <c r="T112" i="10"/>
  <c r="V120" i="10"/>
  <c r="T124" i="10"/>
  <c r="V124" i="10"/>
  <c r="R124" i="10"/>
  <c r="W124" i="10" s="1"/>
  <c r="T139" i="10"/>
  <c r="V139" i="10"/>
  <c r="R139" i="10"/>
  <c r="W139" i="10" s="1"/>
  <c r="V153" i="10"/>
  <c r="T166" i="10"/>
  <c r="V166" i="10"/>
  <c r="R166" i="10"/>
  <c r="W166" i="10" s="1"/>
  <c r="T179" i="10"/>
  <c r="V179" i="10"/>
  <c r="R179" i="10"/>
  <c r="W179" i="10" s="1"/>
  <c r="V204" i="10"/>
  <c r="U79" i="10"/>
  <c r="U81" i="10"/>
  <c r="T82" i="10"/>
  <c r="U86" i="10"/>
  <c r="U94" i="10"/>
  <c r="U97" i="10"/>
  <c r="U108" i="10"/>
  <c r="U112" i="10"/>
  <c r="T182" i="10"/>
  <c r="V182" i="10"/>
  <c r="R182" i="10"/>
  <c r="W182" i="10" s="1"/>
  <c r="T194" i="10"/>
  <c r="V194" i="10"/>
  <c r="R194" i="10"/>
  <c r="W194" i="10" s="1"/>
  <c r="R79" i="10"/>
  <c r="W79" i="10" s="1"/>
  <c r="R81" i="10"/>
  <c r="W81" i="10" s="1"/>
  <c r="R86" i="10"/>
  <c r="W86" i="10" s="1"/>
  <c r="R94" i="10"/>
  <c r="W94" i="10" s="1"/>
  <c r="R97" i="10"/>
  <c r="W97" i="10" s="1"/>
  <c r="R108" i="10"/>
  <c r="W108" i="10" s="1"/>
  <c r="R112" i="10"/>
  <c r="W112" i="10" s="1"/>
  <c r="U120" i="10"/>
  <c r="U140" i="10"/>
  <c r="T148" i="10"/>
  <c r="U153" i="10"/>
  <c r="T154" i="10"/>
  <c r="U167" i="10"/>
  <c r="T181" i="10"/>
  <c r="U185" i="10"/>
  <c r="T188" i="10"/>
  <c r="T192" i="10"/>
  <c r="U195" i="10"/>
  <c r="T197" i="10"/>
  <c r="U204" i="10"/>
  <c r="U208" i="10"/>
  <c r="T209" i="10"/>
  <c r="R120" i="10"/>
  <c r="W120" i="10" s="1"/>
  <c r="R140" i="10"/>
  <c r="W140" i="10" s="1"/>
  <c r="U148" i="10"/>
  <c r="T150" i="10"/>
  <c r="R153" i="10"/>
  <c r="W153" i="10" s="1"/>
  <c r="U154" i="10"/>
  <c r="R167" i="10"/>
  <c r="W167" i="10" s="1"/>
  <c r="U181" i="10"/>
  <c r="R185" i="10"/>
  <c r="W185" i="10" s="1"/>
  <c r="U188" i="10"/>
  <c r="T189" i="10"/>
  <c r="U192" i="10"/>
  <c r="T193" i="10"/>
  <c r="R195" i="10"/>
  <c r="W195" i="10" s="1"/>
  <c r="U197" i="10"/>
  <c r="T202" i="10"/>
  <c r="R204" i="10"/>
  <c r="W204" i="10" s="1"/>
  <c r="T206" i="10"/>
  <c r="R208" i="10"/>
  <c r="W208" i="10" s="1"/>
  <c r="T212" i="10"/>
  <c r="T216" i="10"/>
  <c r="R148" i="10"/>
  <c r="W148" i="10" s="1"/>
  <c r="R154" i="10"/>
  <c r="W154" i="10" s="1"/>
  <c r="R181" i="10"/>
  <c r="W181" i="10" s="1"/>
  <c r="R188" i="10"/>
  <c r="W188" i="10" s="1"/>
  <c r="R192" i="10"/>
  <c r="W192" i="10" s="1"/>
  <c r="R197" i="10"/>
  <c r="W197" i="10" s="1"/>
  <c r="R209" i="10"/>
  <c r="W209" i="10" s="1"/>
  <c r="H11" i="10" l="1"/>
  <c r="H11" i="3" s="1"/>
  <c r="X28" i="10"/>
  <c r="X206" i="10"/>
  <c r="Y206" i="10" s="1"/>
  <c r="X82" i="10"/>
  <c r="Y82" i="10" s="1"/>
  <c r="Z82" i="10" s="1"/>
  <c r="X145" i="10"/>
  <c r="Y145" i="10" s="1"/>
  <c r="X59" i="10"/>
  <c r="Y59" i="10" s="1"/>
  <c r="Z59" i="10" s="1"/>
  <c r="AA59" i="10" s="1"/>
  <c r="X212" i="10"/>
  <c r="Y212" i="10" s="1"/>
  <c r="X33" i="10"/>
  <c r="Y33" i="10" s="1"/>
  <c r="X109" i="10"/>
  <c r="Y109" i="10" s="1"/>
  <c r="Z109" i="10" s="1"/>
  <c r="X123" i="10"/>
  <c r="Y123" i="10" s="1"/>
  <c r="X216" i="10"/>
  <c r="Y216" i="10" s="1"/>
  <c r="X29" i="10"/>
  <c r="Y29" i="10" s="1"/>
  <c r="Z29" i="10" s="1"/>
  <c r="AA29" i="10" s="1"/>
  <c r="X43" i="10"/>
  <c r="Y43" i="10" s="1"/>
  <c r="Z43" i="10" s="1"/>
  <c r="X150" i="10"/>
  <c r="Y150" i="10" s="1"/>
  <c r="X189" i="10"/>
  <c r="Y189" i="10" s="1"/>
  <c r="X58" i="10"/>
  <c r="Y58" i="10" s="1"/>
  <c r="X193" i="10"/>
  <c r="Y193" i="10" s="1"/>
  <c r="X68" i="10"/>
  <c r="Y68" i="10" s="1"/>
  <c r="Z68" i="10" s="1"/>
  <c r="AA68" i="10" s="1"/>
  <c r="X114" i="10"/>
  <c r="Y114" i="10" s="1"/>
  <c r="X34" i="10"/>
  <c r="Y34" i="10" s="1"/>
  <c r="Z34" i="10" s="1"/>
  <c r="AA34" i="10" s="1"/>
  <c r="X202" i="10"/>
  <c r="Y202" i="10" s="1"/>
  <c r="H7" i="10"/>
  <c r="H7" i="3" s="1"/>
  <c r="H8" i="3"/>
  <c r="X38" i="10"/>
  <c r="X37" i="10"/>
  <c r="Y37" i="10" s="1"/>
  <c r="X74" i="10"/>
  <c r="Y74" i="10" s="1"/>
  <c r="X119" i="10"/>
  <c r="Y119" i="10" s="1"/>
  <c r="Z119" i="10" s="1"/>
  <c r="AA119" i="10" s="1"/>
  <c r="X77" i="10"/>
  <c r="X96" i="10"/>
  <c r="Y96" i="10" s="1"/>
  <c r="X154" i="10"/>
  <c r="Y154" i="10" s="1"/>
  <c r="Z154" i="10" s="1"/>
  <c r="X139" i="10"/>
  <c r="X182" i="10"/>
  <c r="X87" i="10"/>
  <c r="Y87" i="10" s="1"/>
  <c r="X112" i="10"/>
  <c r="Y112" i="10" s="1"/>
  <c r="X60" i="10"/>
  <c r="Y60" i="10" s="1"/>
  <c r="X81" i="10"/>
  <c r="Y81" i="10" s="1"/>
  <c r="X49" i="10"/>
  <c r="Y49" i="10" s="1"/>
  <c r="X97" i="10"/>
  <c r="Y97" i="10" s="1"/>
  <c r="X148" i="10"/>
  <c r="X80" i="10"/>
  <c r="Y80" i="10" s="1"/>
  <c r="X110" i="10"/>
  <c r="Y110" i="10" s="1"/>
  <c r="X99" i="10"/>
  <c r="X192" i="10"/>
  <c r="X152" i="10"/>
  <c r="Y152" i="10" s="1"/>
  <c r="X190" i="10"/>
  <c r="Y190" i="10" s="1"/>
  <c r="X140" i="10"/>
  <c r="X195" i="10"/>
  <c r="Y195" i="10" s="1"/>
  <c r="X79" i="10"/>
  <c r="Y79" i="10" s="1"/>
  <c r="Z79" i="10" s="1"/>
  <c r="X75" i="10"/>
  <c r="Y75" i="10" s="1"/>
  <c r="X120" i="10"/>
  <c r="Y120" i="10" s="1"/>
  <c r="X185" i="10"/>
  <c r="Y185" i="10" s="1"/>
  <c r="Z185" i="10" s="1"/>
  <c r="H17" i="10"/>
  <c r="X63" i="10"/>
  <c r="Y63" i="10" s="1"/>
  <c r="X181" i="10"/>
  <c r="X70" i="10"/>
  <c r="X94" i="10"/>
  <c r="Y94" i="10" s="1"/>
  <c r="X61" i="10"/>
  <c r="X108" i="10"/>
  <c r="X188" i="10"/>
  <c r="Y188" i="10" s="1"/>
  <c r="Z188" i="10" s="1"/>
  <c r="X84" i="10"/>
  <c r="Y84" i="10" s="1"/>
  <c r="Z84" i="10" s="1"/>
  <c r="AA84" i="10" s="1"/>
  <c r="X78" i="10"/>
  <c r="X107" i="10"/>
  <c r="Y107" i="10" s="1"/>
  <c r="X166" i="10"/>
  <c r="Y166" i="10" s="1"/>
  <c r="X194" i="10"/>
  <c r="Y194" i="10" s="1"/>
  <c r="X153" i="10"/>
  <c r="Y153" i="10" s="1"/>
  <c r="X204" i="10"/>
  <c r="Y70" i="10"/>
  <c r="Z70" i="10" s="1"/>
  <c r="X46" i="10"/>
  <c r="X95" i="10"/>
  <c r="Y28" i="10"/>
  <c r="X86" i="10"/>
  <c r="Y86" i="10" s="1"/>
  <c r="X72" i="10"/>
  <c r="Y72" i="10" s="1"/>
  <c r="X73" i="10"/>
  <c r="Y73" i="10" s="1"/>
  <c r="Z73" i="10" s="1"/>
  <c r="X30" i="10"/>
  <c r="Y30" i="10" s="1"/>
  <c r="X71" i="10"/>
  <c r="Y71" i="10" s="1"/>
  <c r="X209" i="10"/>
  <c r="X197" i="10"/>
  <c r="X93" i="10"/>
  <c r="Y93" i="10" s="1"/>
  <c r="X85" i="10"/>
  <c r="Y85" i="10" s="1"/>
  <c r="X111" i="10"/>
  <c r="Y111" i="10" s="1"/>
  <c r="X124" i="10"/>
  <c r="X179" i="10"/>
  <c r="X203" i="10"/>
  <c r="X167" i="10"/>
  <c r="Y167" i="10" s="1"/>
  <c r="X208" i="10"/>
  <c r="Y208" i="10" s="1"/>
  <c r="X55" i="10"/>
  <c r="Z145" i="10" l="1"/>
  <c r="AA145" i="10" s="1"/>
  <c r="Z123" i="10"/>
  <c r="AA123" i="10" s="1"/>
  <c r="Z33" i="10"/>
  <c r="AA33" i="10" s="1"/>
  <c r="Z216" i="10"/>
  <c r="AA216" i="10" s="1"/>
  <c r="Z212" i="10"/>
  <c r="AA212" i="10" s="1"/>
  <c r="H14" i="10"/>
  <c r="H14" i="3" s="1"/>
  <c r="Z189" i="10"/>
  <c r="AA189" i="10" s="1"/>
  <c r="Z193" i="10"/>
  <c r="AA193" i="10" s="1"/>
  <c r="Z202" i="10"/>
  <c r="AA202" i="10" s="1"/>
  <c r="Y99" i="10"/>
  <c r="Z99" i="10" s="1"/>
  <c r="AA99" i="10" s="1"/>
  <c r="AA109" i="10"/>
  <c r="Z114" i="10"/>
  <c r="AA114" i="10" s="1"/>
  <c r="AA43" i="10"/>
  <c r="Z37" i="10"/>
  <c r="AA37" i="10" s="1"/>
  <c r="Z74" i="10"/>
  <c r="AA74" i="10" s="1"/>
  <c r="Y108" i="10"/>
  <c r="Z108" i="10" s="1"/>
  <c r="AA108" i="10" s="1"/>
  <c r="AA79" i="10"/>
  <c r="Z87" i="10"/>
  <c r="AA87" i="10" s="1"/>
  <c r="Z60" i="10"/>
  <c r="AA60" i="10" s="1"/>
  <c r="Z85" i="10"/>
  <c r="AA85" i="10" s="1"/>
  <c r="AA154" i="10"/>
  <c r="Z72" i="10"/>
  <c r="AA72" i="10" s="1"/>
  <c r="Z28" i="10"/>
  <c r="AA28" i="10" s="1"/>
  <c r="H18" i="10"/>
  <c r="Z96" i="10"/>
  <c r="AA96" i="10" s="1"/>
  <c r="Z190" i="10"/>
  <c r="AA190" i="10" s="1"/>
  <c r="AA70" i="10"/>
  <c r="Y203" i="10"/>
  <c r="Z203" i="10" s="1"/>
  <c r="AA203" i="10" s="1"/>
  <c r="Z152" i="10"/>
  <c r="AA152" i="10" s="1"/>
  <c r="Y148" i="10"/>
  <c r="Z148" i="10" s="1"/>
  <c r="Y38" i="10"/>
  <c r="Z38" i="10" s="1"/>
  <c r="Y182" i="10"/>
  <c r="Y204" i="10"/>
  <c r="Z204" i="10" s="1"/>
  <c r="Y77" i="10"/>
  <c r="Y139" i="10"/>
  <c r="Z86" i="10"/>
  <c r="AA86" i="10" s="1"/>
  <c r="AA188" i="10"/>
  <c r="Z97" i="10"/>
  <c r="AA97" i="10" s="1"/>
  <c r="Z49" i="10"/>
  <c r="AA49" i="10" s="1"/>
  <c r="Y61" i="10"/>
  <c r="Z61" i="10" s="1"/>
  <c r="AA61" i="10" s="1"/>
  <c r="Z120" i="10"/>
  <c r="AA120" i="10" s="1"/>
  <c r="Z194" i="10"/>
  <c r="AA194" i="10" s="1"/>
  <c r="Y95" i="10"/>
  <c r="Z95" i="10" s="1"/>
  <c r="Z111" i="10"/>
  <c r="AA111" i="10" s="1"/>
  <c r="Z167" i="10"/>
  <c r="AA167" i="10" s="1"/>
  <c r="Y55" i="10"/>
  <c r="Z55" i="10" s="1"/>
  <c r="AA55" i="10" s="1"/>
  <c r="Z94" i="10"/>
  <c r="AA94" i="10" s="1"/>
  <c r="Z58" i="10"/>
  <c r="AA58" i="10" s="1"/>
  <c r="Z71" i="10"/>
  <c r="AA71" i="10" s="1"/>
  <c r="Z112" i="10"/>
  <c r="AA112" i="10" s="1"/>
  <c r="Y140" i="10"/>
  <c r="Z140" i="10" s="1"/>
  <c r="AA140" i="10" s="1"/>
  <c r="Y181" i="10"/>
  <c r="Z181" i="10" s="1"/>
  <c r="AA181" i="10" s="1"/>
  <c r="Z107" i="10"/>
  <c r="AA107" i="10" s="1"/>
  <c r="Y197" i="10"/>
  <c r="Z197" i="10" s="1"/>
  <c r="AA197" i="10" s="1"/>
  <c r="AA82" i="10"/>
  <c r="Z63" i="10"/>
  <c r="AA63" i="10" s="1"/>
  <c r="Z81" i="10"/>
  <c r="AA81" i="10" s="1"/>
  <c r="Z30" i="10"/>
  <c r="AA30" i="10" s="1"/>
  <c r="Z166" i="10"/>
  <c r="AA166" i="10" s="1"/>
  <c r="Y46" i="10"/>
  <c r="Z46" i="10" s="1"/>
  <c r="Y192" i="10"/>
  <c r="Z192" i="10" s="1"/>
  <c r="AA192" i="10" s="1"/>
  <c r="Z153" i="10"/>
  <c r="AA153" i="10" s="1"/>
  <c r="Z75" i="10"/>
  <c r="AA75" i="10" s="1"/>
  <c r="Y179" i="10"/>
  <c r="AA185" i="10"/>
  <c r="Z195" i="10"/>
  <c r="AA195" i="10" s="1"/>
  <c r="Z206" i="10"/>
  <c r="AA206" i="10" s="1"/>
  <c r="Z80" i="10"/>
  <c r="AA80" i="10" s="1"/>
  <c r="Z93" i="10"/>
  <c r="AA93" i="10" s="1"/>
  <c r="Y78" i="10"/>
  <c r="Z78" i="10" s="1"/>
  <c r="AA78" i="10" s="1"/>
  <c r="Y124" i="10"/>
  <c r="Z208" i="10"/>
  <c r="AA208" i="10" s="1"/>
  <c r="AA73" i="10"/>
  <c r="Z110" i="10"/>
  <c r="AA110" i="10" s="1"/>
  <c r="Y209" i="10"/>
  <c r="Z209" i="10" s="1"/>
  <c r="AA209" i="10" s="1"/>
  <c r="Z150" i="10"/>
  <c r="AA150" i="10" s="1"/>
  <c r="AA148" i="10" l="1"/>
  <c r="Z139" i="10"/>
  <c r="AA139" i="10" s="1"/>
  <c r="AA204" i="10"/>
  <c r="AA38" i="10"/>
  <c r="Z77" i="10"/>
  <c r="AA77" i="10" s="1"/>
  <c r="Z182" i="10"/>
  <c r="AA182" i="10" s="1"/>
  <c r="H19" i="10"/>
  <c r="H19" i="3" s="1"/>
  <c r="Z124" i="10"/>
  <c r="AA124" i="10" s="1"/>
  <c r="Z179" i="10"/>
  <c r="AA179" i="10" s="1"/>
  <c r="AA46" i="10"/>
  <c r="AA95" i="10"/>
  <c r="H21" i="10" l="1"/>
  <c r="H21" i="3" s="1"/>
  <c r="H20" i="10"/>
  <c r="H22" i="10" l="1"/>
  <c r="H23" i="10" s="1"/>
  <c r="H20" i="3"/>
  <c r="H22" i="3" s="1"/>
  <c r="H23" i="3" s="1"/>
  <c r="Z129" i="8"/>
  <c r="W100" i="8"/>
  <c r="X195" i="8"/>
  <c r="H195" i="8"/>
  <c r="J195" i="8" s="1"/>
  <c r="G126" i="8"/>
  <c r="Y99" i="8"/>
  <c r="P141" i="8"/>
  <c r="M141" i="8"/>
  <c r="J141" i="8"/>
  <c r="C141" i="8"/>
  <c r="E141" i="8"/>
  <c r="F141" i="8"/>
  <c r="D118" i="2"/>
  <c r="D140" i="3" s="1"/>
  <c r="E140" i="3"/>
  <c r="F140" i="3"/>
  <c r="C140" i="3"/>
  <c r="P42" i="8"/>
  <c r="M42" i="8"/>
  <c r="J42" i="8"/>
  <c r="C42" i="8"/>
  <c r="E42" i="8"/>
  <c r="F42" i="8"/>
  <c r="G75" i="8"/>
  <c r="J75" i="8" s="1"/>
  <c r="P72" i="8"/>
  <c r="M72" i="8"/>
  <c r="J72" i="8"/>
  <c r="P91" i="8"/>
  <c r="M91" i="8"/>
  <c r="J91" i="8"/>
  <c r="J90" i="8"/>
  <c r="M90" i="8"/>
  <c r="P90" i="8"/>
  <c r="E90" i="8"/>
  <c r="F90" i="8"/>
  <c r="E91" i="8"/>
  <c r="F91" i="8"/>
  <c r="C90" i="8"/>
  <c r="C91" i="8"/>
  <c r="C89" i="3"/>
  <c r="E89" i="3"/>
  <c r="F89" i="3"/>
  <c r="C90" i="3"/>
  <c r="E90" i="3"/>
  <c r="F90" i="3"/>
  <c r="D67" i="2"/>
  <c r="D89" i="3" s="1"/>
  <c r="D68" i="2"/>
  <c r="D90" i="3" s="1"/>
  <c r="G92" i="8"/>
  <c r="G89" i="8" s="1"/>
  <c r="C92" i="8"/>
  <c r="J97" i="8"/>
  <c r="E97" i="8"/>
  <c r="F97" i="8"/>
  <c r="C97" i="8"/>
  <c r="D74" i="2"/>
  <c r="F95" i="3"/>
  <c r="E95" i="3"/>
  <c r="C95" i="3"/>
  <c r="C91" i="3"/>
  <c r="E91" i="3"/>
  <c r="F91" i="3"/>
  <c r="C92" i="3"/>
  <c r="E92" i="3"/>
  <c r="F92" i="3"/>
  <c r="P189" i="8"/>
  <c r="M189" i="8"/>
  <c r="C189" i="8"/>
  <c r="J189" i="8"/>
  <c r="E189" i="8"/>
  <c r="F189" i="8"/>
  <c r="M196" i="8"/>
  <c r="P196" i="8"/>
  <c r="J196" i="8"/>
  <c r="D173" i="2"/>
  <c r="D195" i="3" s="1"/>
  <c r="J195" i="3" s="1"/>
  <c r="C196" i="8"/>
  <c r="E196" i="8"/>
  <c r="F196" i="8"/>
  <c r="J118" i="8"/>
  <c r="M118" i="8"/>
  <c r="C118" i="8"/>
  <c r="E118" i="8"/>
  <c r="F118" i="8"/>
  <c r="C117" i="3"/>
  <c r="D117" i="3"/>
  <c r="E117" i="3"/>
  <c r="F117" i="3"/>
  <c r="C117" i="8"/>
  <c r="J172" i="8"/>
  <c r="E172" i="8"/>
  <c r="F172" i="8"/>
  <c r="C172" i="8"/>
  <c r="D149" i="2"/>
  <c r="M171" i="8"/>
  <c r="P171" i="8"/>
  <c r="J93" i="8"/>
  <c r="D69" i="2"/>
  <c r="D91" i="3" s="1"/>
  <c r="D70" i="2"/>
  <c r="D92" i="3" s="1"/>
  <c r="C41" i="3"/>
  <c r="D41" i="3"/>
  <c r="E41" i="3"/>
  <c r="F41" i="3"/>
  <c r="E92" i="8"/>
  <c r="F92" i="8"/>
  <c r="E93" i="8"/>
  <c r="F93" i="8"/>
  <c r="P79" i="8"/>
  <c r="J79" i="8"/>
  <c r="M79" i="8"/>
  <c r="J41" i="8"/>
  <c r="E41" i="8"/>
  <c r="F41" i="8"/>
  <c r="C41" i="8"/>
  <c r="J177" i="8"/>
  <c r="X130" i="8"/>
  <c r="I130" i="8"/>
  <c r="J96" i="8"/>
  <c r="E96" i="8"/>
  <c r="F96" i="8"/>
  <c r="C96" i="8"/>
  <c r="C98" i="8"/>
  <c r="D73" i="2"/>
  <c r="D95" i="3" s="1"/>
  <c r="H130" i="8"/>
  <c r="G129" i="8"/>
  <c r="J129" i="8" s="1"/>
  <c r="P128" i="8"/>
  <c r="M128" i="8"/>
  <c r="J128" i="8"/>
  <c r="E128" i="8"/>
  <c r="F128" i="8"/>
  <c r="C128" i="8"/>
  <c r="D105" i="2"/>
  <c r="D127" i="3" s="1"/>
  <c r="J127" i="3" s="1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199" i="2"/>
  <c r="D198" i="2"/>
  <c r="D197" i="2"/>
  <c r="D196" i="2"/>
  <c r="D195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4" i="2"/>
  <c r="D103" i="2"/>
  <c r="D102" i="2"/>
  <c r="D101" i="2"/>
  <c r="D100" i="2"/>
  <c r="D99" i="2"/>
  <c r="D98" i="2"/>
  <c r="D97" i="2"/>
  <c r="D96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0" i="2"/>
  <c r="D79" i="2"/>
  <c r="D78" i="2"/>
  <c r="D77" i="2"/>
  <c r="D76" i="2"/>
  <c r="D75" i="2"/>
  <c r="D72" i="2"/>
  <c r="D71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71" i="3" s="1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J142" i="8"/>
  <c r="J137" i="8"/>
  <c r="J116" i="8"/>
  <c r="J112" i="8"/>
  <c r="J77" i="8"/>
  <c r="J80" i="8"/>
  <c r="J68" i="8"/>
  <c r="J61" i="8"/>
  <c r="J48" i="8"/>
  <c r="J50" i="8"/>
  <c r="J32" i="8"/>
  <c r="E72" i="8"/>
  <c r="F72" i="8"/>
  <c r="E71" i="3"/>
  <c r="F71" i="3"/>
  <c r="C71" i="3"/>
  <c r="C72" i="8"/>
  <c r="P29" i="8"/>
  <c r="M29" i="8"/>
  <c r="I43" i="8"/>
  <c r="J43" i="8" s="1"/>
  <c r="U238" i="8"/>
  <c r="U217" i="8" s="1"/>
  <c r="T238" i="8"/>
  <c r="T217" i="8" s="1"/>
  <c r="S238" i="8"/>
  <c r="S217" i="8" s="1"/>
  <c r="X217" i="8" s="1"/>
  <c r="R238" i="8"/>
  <c r="R217" i="8" s="1"/>
  <c r="Q238" i="8"/>
  <c r="Q217" i="8" s="1"/>
  <c r="P236" i="8"/>
  <c r="M236" i="8"/>
  <c r="J236" i="8"/>
  <c r="F236" i="8"/>
  <c r="E236" i="8"/>
  <c r="C236" i="8"/>
  <c r="F235" i="8"/>
  <c r="E235" i="8"/>
  <c r="C235" i="8"/>
  <c r="F234" i="8"/>
  <c r="E234" i="8"/>
  <c r="C234" i="8"/>
  <c r="F233" i="8"/>
  <c r="E233" i="8"/>
  <c r="C233" i="8"/>
  <c r="F232" i="8"/>
  <c r="E232" i="8"/>
  <c r="C232" i="8"/>
  <c r="F231" i="8"/>
  <c r="E231" i="8"/>
  <c r="C231" i="8"/>
  <c r="F230" i="8"/>
  <c r="E230" i="8"/>
  <c r="C230" i="8"/>
  <c r="J229" i="8"/>
  <c r="F229" i="8"/>
  <c r="E229" i="8"/>
  <c r="C229" i="8"/>
  <c r="J228" i="8"/>
  <c r="F228" i="8"/>
  <c r="E228" i="8"/>
  <c r="C228" i="8"/>
  <c r="F227" i="8"/>
  <c r="E227" i="8"/>
  <c r="C227" i="8"/>
  <c r="F226" i="8"/>
  <c r="E226" i="8"/>
  <c r="C226" i="8"/>
  <c r="F225" i="8"/>
  <c r="E225" i="8"/>
  <c r="C225" i="8"/>
  <c r="F224" i="8"/>
  <c r="E224" i="8"/>
  <c r="C224" i="8"/>
  <c r="F222" i="8"/>
  <c r="E222" i="8"/>
  <c r="C222" i="8"/>
  <c r="F221" i="8"/>
  <c r="E221" i="8"/>
  <c r="C221" i="8"/>
  <c r="F220" i="8"/>
  <c r="E220" i="8"/>
  <c r="C220" i="8"/>
  <c r="P219" i="8"/>
  <c r="M219" i="8"/>
  <c r="J219" i="8"/>
  <c r="F219" i="8"/>
  <c r="E219" i="8"/>
  <c r="C219" i="8"/>
  <c r="P218" i="8"/>
  <c r="M218" i="8"/>
  <c r="J218" i="8"/>
  <c r="F218" i="8"/>
  <c r="E218" i="8"/>
  <c r="C218" i="8"/>
  <c r="J216" i="8"/>
  <c r="F216" i="8"/>
  <c r="E216" i="8"/>
  <c r="C216" i="8"/>
  <c r="P215" i="8"/>
  <c r="M215" i="8"/>
  <c r="J215" i="8"/>
  <c r="F215" i="8"/>
  <c r="E215" i="8"/>
  <c r="C215" i="8"/>
  <c r="J214" i="8"/>
  <c r="F214" i="8"/>
  <c r="E214" i="8"/>
  <c r="C214" i="8"/>
  <c r="P213" i="8"/>
  <c r="M213" i="8"/>
  <c r="J213" i="8"/>
  <c r="F213" i="8"/>
  <c r="E213" i="8"/>
  <c r="C213" i="8"/>
  <c r="P212" i="8"/>
  <c r="M212" i="8"/>
  <c r="J212" i="8"/>
  <c r="F212" i="8"/>
  <c r="E212" i="8"/>
  <c r="C212" i="8"/>
  <c r="F211" i="8"/>
  <c r="E211" i="8"/>
  <c r="C211" i="8"/>
  <c r="F210" i="8"/>
  <c r="E210" i="8"/>
  <c r="C210" i="8"/>
  <c r="F209" i="8"/>
  <c r="E209" i="8"/>
  <c r="C209" i="8"/>
  <c r="F208" i="8"/>
  <c r="E208" i="8"/>
  <c r="C208" i="8"/>
  <c r="F207" i="8"/>
  <c r="E207" i="8"/>
  <c r="C207" i="8"/>
  <c r="P206" i="8"/>
  <c r="M206" i="8"/>
  <c r="J206" i="8"/>
  <c r="F206" i="8"/>
  <c r="E206" i="8"/>
  <c r="C206" i="8"/>
  <c r="P205" i="8"/>
  <c r="M205" i="8"/>
  <c r="J205" i="8"/>
  <c r="F205" i="8"/>
  <c r="E205" i="8"/>
  <c r="C205" i="8"/>
  <c r="P204" i="8"/>
  <c r="M204" i="8"/>
  <c r="J204" i="8"/>
  <c r="F204" i="8"/>
  <c r="E204" i="8"/>
  <c r="C204" i="8"/>
  <c r="P203" i="8"/>
  <c r="M203" i="8"/>
  <c r="J203" i="8"/>
  <c r="F203" i="8"/>
  <c r="E203" i="8"/>
  <c r="C203" i="8"/>
  <c r="P202" i="8"/>
  <c r="M202" i="8"/>
  <c r="J202" i="8"/>
  <c r="F202" i="8"/>
  <c r="E202" i="8"/>
  <c r="C202" i="8"/>
  <c r="I201" i="8"/>
  <c r="J201" i="8" s="1"/>
  <c r="F201" i="8"/>
  <c r="E201" i="8"/>
  <c r="C201" i="8"/>
  <c r="P200" i="8"/>
  <c r="M200" i="8"/>
  <c r="J200" i="8"/>
  <c r="F200" i="8"/>
  <c r="E200" i="8"/>
  <c r="C200" i="8"/>
  <c r="P199" i="8"/>
  <c r="M199" i="8"/>
  <c r="J199" i="8"/>
  <c r="F199" i="8"/>
  <c r="E199" i="8"/>
  <c r="C199" i="8"/>
  <c r="P198" i="8"/>
  <c r="M198" i="8"/>
  <c r="J198" i="8"/>
  <c r="F198" i="8"/>
  <c r="E198" i="8"/>
  <c r="C198" i="8"/>
  <c r="P197" i="8"/>
  <c r="M197" i="8"/>
  <c r="J197" i="8"/>
  <c r="F197" i="8"/>
  <c r="E197" i="8"/>
  <c r="C197" i="8"/>
  <c r="F195" i="8"/>
  <c r="E195" i="8"/>
  <c r="C195" i="8"/>
  <c r="F194" i="8"/>
  <c r="E194" i="8"/>
  <c r="C194" i="8"/>
  <c r="P193" i="8"/>
  <c r="M193" i="8"/>
  <c r="J193" i="8"/>
  <c r="F193" i="8"/>
  <c r="E193" i="8"/>
  <c r="C193" i="8"/>
  <c r="P192" i="8"/>
  <c r="M192" i="8"/>
  <c r="J192" i="8"/>
  <c r="F192" i="8"/>
  <c r="E192" i="8"/>
  <c r="C192" i="8"/>
  <c r="J191" i="8"/>
  <c r="F191" i="8"/>
  <c r="E191" i="8"/>
  <c r="C191" i="8"/>
  <c r="P190" i="8"/>
  <c r="M190" i="8"/>
  <c r="J190" i="8"/>
  <c r="F190" i="8"/>
  <c r="E190" i="8"/>
  <c r="C190" i="8"/>
  <c r="P188" i="8"/>
  <c r="M188" i="8"/>
  <c r="J188" i="8"/>
  <c r="F188" i="8"/>
  <c r="E188" i="8"/>
  <c r="C188" i="8"/>
  <c r="P187" i="8"/>
  <c r="M187" i="8"/>
  <c r="J187" i="8"/>
  <c r="F187" i="8"/>
  <c r="E187" i="8"/>
  <c r="C187" i="8"/>
  <c r="I186" i="8"/>
  <c r="J186" i="8" s="1"/>
  <c r="F186" i="8"/>
  <c r="E186" i="8"/>
  <c r="C186" i="8"/>
  <c r="P185" i="8"/>
  <c r="M185" i="8"/>
  <c r="G185" i="8"/>
  <c r="J185" i="8" s="1"/>
  <c r="F185" i="8"/>
  <c r="E185" i="8"/>
  <c r="C185" i="8"/>
  <c r="P184" i="8"/>
  <c r="M184" i="8"/>
  <c r="J184" i="8"/>
  <c r="F184" i="8"/>
  <c r="E184" i="8"/>
  <c r="C184" i="8"/>
  <c r="F183" i="8"/>
  <c r="E183" i="8"/>
  <c r="C183" i="8"/>
  <c r="F182" i="8"/>
  <c r="E182" i="8"/>
  <c r="C182" i="8"/>
  <c r="F181" i="8"/>
  <c r="E181" i="8"/>
  <c r="C181" i="8"/>
  <c r="F180" i="8"/>
  <c r="E180" i="8"/>
  <c r="C180" i="8"/>
  <c r="F179" i="8"/>
  <c r="E179" i="8"/>
  <c r="C179" i="8"/>
  <c r="P178" i="8"/>
  <c r="M178" i="8"/>
  <c r="J178" i="8"/>
  <c r="F178" i="8"/>
  <c r="E178" i="8"/>
  <c r="C178" i="8"/>
  <c r="F177" i="8"/>
  <c r="E177" i="8"/>
  <c r="C177" i="8"/>
  <c r="P176" i="8"/>
  <c r="M176" i="8"/>
  <c r="J176" i="8"/>
  <c r="F176" i="8"/>
  <c r="E176" i="8"/>
  <c r="C176" i="8"/>
  <c r="J175" i="8"/>
  <c r="F175" i="8"/>
  <c r="E175" i="8"/>
  <c r="C175" i="8"/>
  <c r="I174" i="8"/>
  <c r="J174" i="8" s="1"/>
  <c r="F174" i="8"/>
  <c r="E174" i="8"/>
  <c r="C174" i="8"/>
  <c r="I173" i="8"/>
  <c r="J173" i="8" s="1"/>
  <c r="F173" i="8"/>
  <c r="E173" i="8"/>
  <c r="C173" i="8"/>
  <c r="J171" i="8"/>
  <c r="F171" i="8"/>
  <c r="E171" i="8"/>
  <c r="C171" i="8"/>
  <c r="P170" i="8"/>
  <c r="M170" i="8"/>
  <c r="J170" i="8"/>
  <c r="F170" i="8"/>
  <c r="E170" i="8"/>
  <c r="C170" i="8"/>
  <c r="P169" i="8"/>
  <c r="M169" i="8"/>
  <c r="J169" i="8"/>
  <c r="F169" i="8"/>
  <c r="E169" i="8"/>
  <c r="C169" i="8"/>
  <c r="P168" i="8"/>
  <c r="M168" i="8"/>
  <c r="J168" i="8"/>
  <c r="F168" i="8"/>
  <c r="E168" i="8"/>
  <c r="C168" i="8"/>
  <c r="F167" i="8"/>
  <c r="E167" i="8"/>
  <c r="C167" i="8"/>
  <c r="F166" i="8"/>
  <c r="E166" i="8"/>
  <c r="C166" i="8"/>
  <c r="F165" i="8"/>
  <c r="E165" i="8"/>
  <c r="C165" i="8"/>
  <c r="P164" i="8"/>
  <c r="M164" i="8"/>
  <c r="J164" i="8"/>
  <c r="F164" i="8"/>
  <c r="E164" i="8"/>
  <c r="C164" i="8"/>
  <c r="P163" i="8"/>
  <c r="M163" i="8"/>
  <c r="J163" i="8"/>
  <c r="F163" i="8"/>
  <c r="E163" i="8"/>
  <c r="C163" i="8"/>
  <c r="X162" i="8"/>
  <c r="J162" i="8"/>
  <c r="F162" i="8"/>
  <c r="E162" i="8"/>
  <c r="C162" i="8"/>
  <c r="P161" i="8"/>
  <c r="M161" i="8"/>
  <c r="J161" i="8"/>
  <c r="F161" i="8"/>
  <c r="E161" i="8"/>
  <c r="C161" i="8"/>
  <c r="P160" i="8"/>
  <c r="M160" i="8"/>
  <c r="J160" i="8"/>
  <c r="F160" i="8"/>
  <c r="E160" i="8"/>
  <c r="C160" i="8"/>
  <c r="P159" i="8"/>
  <c r="M159" i="8"/>
  <c r="J159" i="8"/>
  <c r="F159" i="8"/>
  <c r="E159" i="8"/>
  <c r="C159" i="8"/>
  <c r="F158" i="8"/>
  <c r="E158" i="8"/>
  <c r="C158" i="8"/>
  <c r="P157" i="8"/>
  <c r="M157" i="8"/>
  <c r="J157" i="8"/>
  <c r="F157" i="8"/>
  <c r="E157" i="8"/>
  <c r="C157" i="8"/>
  <c r="P156" i="8"/>
  <c r="M156" i="8"/>
  <c r="J156" i="8"/>
  <c r="F156" i="8"/>
  <c r="E156" i="8"/>
  <c r="C156" i="8"/>
  <c r="P155" i="8"/>
  <c r="M155" i="8"/>
  <c r="J155" i="8"/>
  <c r="F155" i="8"/>
  <c r="E155" i="8"/>
  <c r="C155" i="8"/>
  <c r="P154" i="8"/>
  <c r="M154" i="8"/>
  <c r="J154" i="8"/>
  <c r="F154" i="8"/>
  <c r="E154" i="8"/>
  <c r="C154" i="8"/>
  <c r="P153" i="8"/>
  <c r="M153" i="8"/>
  <c r="J153" i="8"/>
  <c r="F153" i="8"/>
  <c r="E153" i="8"/>
  <c r="C153" i="8"/>
  <c r="P152" i="8"/>
  <c r="M152" i="8"/>
  <c r="J152" i="8"/>
  <c r="F152" i="8"/>
  <c r="E152" i="8"/>
  <c r="C152" i="8"/>
  <c r="P151" i="8"/>
  <c r="M151" i="8"/>
  <c r="J151" i="8"/>
  <c r="F151" i="8"/>
  <c r="E151" i="8"/>
  <c r="C151" i="8"/>
  <c r="J150" i="8"/>
  <c r="F150" i="8"/>
  <c r="E150" i="8"/>
  <c r="C150" i="8"/>
  <c r="P149" i="8"/>
  <c r="M149" i="8"/>
  <c r="J149" i="8"/>
  <c r="F149" i="8"/>
  <c r="E149" i="8"/>
  <c r="C149" i="8"/>
  <c r="I148" i="8"/>
  <c r="J148" i="8" s="1"/>
  <c r="F148" i="8"/>
  <c r="E148" i="8"/>
  <c r="C148" i="8"/>
  <c r="P147" i="8"/>
  <c r="M147" i="8"/>
  <c r="J147" i="8"/>
  <c r="F147" i="8"/>
  <c r="E147" i="8"/>
  <c r="C147" i="8"/>
  <c r="P146" i="8"/>
  <c r="M146" i="8"/>
  <c r="J146" i="8"/>
  <c r="F146" i="8"/>
  <c r="E146" i="8"/>
  <c r="C146" i="8"/>
  <c r="F145" i="8"/>
  <c r="E145" i="8"/>
  <c r="C145" i="8"/>
  <c r="I144" i="8"/>
  <c r="J144" i="8" s="1"/>
  <c r="F144" i="8"/>
  <c r="E144" i="8"/>
  <c r="C144" i="8"/>
  <c r="J143" i="8"/>
  <c r="F143" i="8"/>
  <c r="E143" i="8"/>
  <c r="C143" i="8"/>
  <c r="F142" i="8"/>
  <c r="E142" i="8"/>
  <c r="C142" i="8"/>
  <c r="J140" i="8"/>
  <c r="F140" i="8"/>
  <c r="E140" i="8"/>
  <c r="C140" i="8"/>
  <c r="I139" i="8"/>
  <c r="J139" i="8" s="1"/>
  <c r="F139" i="8"/>
  <c r="E139" i="8"/>
  <c r="C139" i="8"/>
  <c r="I138" i="8"/>
  <c r="J138" i="8" s="1"/>
  <c r="F138" i="8"/>
  <c r="E138" i="8"/>
  <c r="C138" i="8"/>
  <c r="P137" i="8"/>
  <c r="M137" i="8"/>
  <c r="F137" i="8"/>
  <c r="E137" i="8"/>
  <c r="C137" i="8"/>
  <c r="P136" i="8"/>
  <c r="M136" i="8"/>
  <c r="J136" i="8"/>
  <c r="G136" i="8"/>
  <c r="F136" i="8"/>
  <c r="E136" i="8"/>
  <c r="C136" i="8"/>
  <c r="F135" i="8"/>
  <c r="E135" i="8"/>
  <c r="C135" i="8"/>
  <c r="F134" i="8"/>
  <c r="E134" i="8"/>
  <c r="C134" i="8"/>
  <c r="P133" i="8"/>
  <c r="M133" i="8"/>
  <c r="J133" i="8"/>
  <c r="F133" i="8"/>
  <c r="E133" i="8"/>
  <c r="C133" i="8"/>
  <c r="P132" i="8"/>
  <c r="M132" i="8"/>
  <c r="J132" i="8"/>
  <c r="F132" i="8"/>
  <c r="E132" i="8"/>
  <c r="C132" i="8"/>
  <c r="P131" i="8"/>
  <c r="M131" i="8"/>
  <c r="J131" i="8"/>
  <c r="F131" i="8"/>
  <c r="E131" i="8"/>
  <c r="C131" i="8"/>
  <c r="F130" i="8"/>
  <c r="E130" i="8"/>
  <c r="C130" i="8"/>
  <c r="F129" i="8"/>
  <c r="E129" i="8"/>
  <c r="C129" i="8"/>
  <c r="P127" i="8"/>
  <c r="M127" i="8"/>
  <c r="J127" i="8"/>
  <c r="F127" i="8"/>
  <c r="E127" i="8"/>
  <c r="C127" i="8"/>
  <c r="P126" i="8"/>
  <c r="M126" i="8"/>
  <c r="J126" i="8"/>
  <c r="F126" i="8"/>
  <c r="E126" i="8"/>
  <c r="C126" i="8"/>
  <c r="P125" i="8"/>
  <c r="M125" i="8"/>
  <c r="J125" i="8"/>
  <c r="F125" i="8"/>
  <c r="E125" i="8"/>
  <c r="C125" i="8"/>
  <c r="P124" i="8"/>
  <c r="M124" i="8"/>
  <c r="J124" i="8"/>
  <c r="F124" i="8"/>
  <c r="E124" i="8"/>
  <c r="C124" i="8"/>
  <c r="P123" i="8"/>
  <c r="M123" i="8"/>
  <c r="J123" i="8"/>
  <c r="F123" i="8"/>
  <c r="E123" i="8"/>
  <c r="C123" i="8"/>
  <c r="F122" i="8"/>
  <c r="E122" i="8"/>
  <c r="C122" i="8"/>
  <c r="F121" i="8"/>
  <c r="E121" i="8"/>
  <c r="C121" i="8"/>
  <c r="P120" i="8"/>
  <c r="M120" i="8"/>
  <c r="J120" i="8"/>
  <c r="F120" i="8"/>
  <c r="E120" i="8"/>
  <c r="C120" i="8"/>
  <c r="P119" i="8"/>
  <c r="M119" i="8"/>
  <c r="J119" i="8"/>
  <c r="F119" i="8"/>
  <c r="E119" i="8"/>
  <c r="C119" i="8"/>
  <c r="P117" i="8"/>
  <c r="M117" i="8"/>
  <c r="J117" i="8"/>
  <c r="F117" i="8"/>
  <c r="E117" i="8"/>
  <c r="F116" i="8"/>
  <c r="E116" i="8"/>
  <c r="C116" i="8"/>
  <c r="P115" i="8"/>
  <c r="M115" i="8"/>
  <c r="J115" i="8"/>
  <c r="F115" i="8"/>
  <c r="E115" i="8"/>
  <c r="C115" i="8"/>
  <c r="P114" i="8"/>
  <c r="M114" i="8"/>
  <c r="J114" i="8"/>
  <c r="F114" i="8"/>
  <c r="E114" i="8"/>
  <c r="C114" i="8"/>
  <c r="I113" i="8"/>
  <c r="J113" i="8" s="1"/>
  <c r="F113" i="8"/>
  <c r="E113" i="8"/>
  <c r="C113" i="8"/>
  <c r="P112" i="8"/>
  <c r="M112" i="8"/>
  <c r="F112" i="8"/>
  <c r="E112" i="8"/>
  <c r="C112" i="8"/>
  <c r="J111" i="8"/>
  <c r="F111" i="8"/>
  <c r="E111" i="8"/>
  <c r="C111" i="8"/>
  <c r="P110" i="8"/>
  <c r="M110" i="8"/>
  <c r="J110" i="8"/>
  <c r="F110" i="8"/>
  <c r="E110" i="8"/>
  <c r="C110" i="8"/>
  <c r="J109" i="8"/>
  <c r="F109" i="8"/>
  <c r="E109" i="8"/>
  <c r="C109" i="8"/>
  <c r="P108" i="8"/>
  <c r="M108" i="8"/>
  <c r="J108" i="8"/>
  <c r="F108" i="8"/>
  <c r="E108" i="8"/>
  <c r="C108" i="8"/>
  <c r="P107" i="8"/>
  <c r="M107" i="8"/>
  <c r="J107" i="8"/>
  <c r="F107" i="8"/>
  <c r="E107" i="8"/>
  <c r="C107" i="8"/>
  <c r="P106" i="8"/>
  <c r="M106" i="8"/>
  <c r="J106" i="8"/>
  <c r="F106" i="8"/>
  <c r="E106" i="8"/>
  <c r="C106" i="8"/>
  <c r="P105" i="8"/>
  <c r="M105" i="8"/>
  <c r="J105" i="8"/>
  <c r="F105" i="8"/>
  <c r="E105" i="8"/>
  <c r="C105" i="8"/>
  <c r="P104" i="8"/>
  <c r="M104" i="8"/>
  <c r="J104" i="8"/>
  <c r="F104" i="8"/>
  <c r="E104" i="8"/>
  <c r="C104" i="8"/>
  <c r="J103" i="8"/>
  <c r="F103" i="8"/>
  <c r="E103" i="8"/>
  <c r="C103" i="8"/>
  <c r="P102" i="8"/>
  <c r="M102" i="8"/>
  <c r="J102" i="8"/>
  <c r="F102" i="8"/>
  <c r="E102" i="8"/>
  <c r="C102" i="8"/>
  <c r="P101" i="8"/>
  <c r="M101" i="8"/>
  <c r="J101" i="8"/>
  <c r="F101" i="8"/>
  <c r="E101" i="8"/>
  <c r="C101" i="8"/>
  <c r="J100" i="8"/>
  <c r="F100" i="8"/>
  <c r="E100" i="8"/>
  <c r="C100" i="8"/>
  <c r="J99" i="8"/>
  <c r="F99" i="8"/>
  <c r="E99" i="8"/>
  <c r="C99" i="8"/>
  <c r="P98" i="8"/>
  <c r="M98" i="8"/>
  <c r="J98" i="8"/>
  <c r="F98" i="8"/>
  <c r="E98" i="8"/>
  <c r="F95" i="8"/>
  <c r="E95" i="8"/>
  <c r="C95" i="8"/>
  <c r="J94" i="8"/>
  <c r="F94" i="8"/>
  <c r="E94" i="8"/>
  <c r="C94" i="8"/>
  <c r="P89" i="8"/>
  <c r="M89" i="8"/>
  <c r="J89" i="8"/>
  <c r="F89" i="8"/>
  <c r="E89" i="8"/>
  <c r="C89" i="8"/>
  <c r="P88" i="8"/>
  <c r="M88" i="8"/>
  <c r="J88" i="8"/>
  <c r="F88" i="8"/>
  <c r="E88" i="8"/>
  <c r="C88" i="8"/>
  <c r="F87" i="8"/>
  <c r="E87" i="8"/>
  <c r="C87" i="8"/>
  <c r="F86" i="8"/>
  <c r="E86" i="8"/>
  <c r="C86" i="8"/>
  <c r="F85" i="8"/>
  <c r="E85" i="8"/>
  <c r="C85" i="8"/>
  <c r="F84" i="8"/>
  <c r="E84" i="8"/>
  <c r="C84" i="8"/>
  <c r="F83" i="8"/>
  <c r="E83" i="8"/>
  <c r="C83" i="8"/>
  <c r="F82" i="8"/>
  <c r="E82" i="8"/>
  <c r="C82" i="8"/>
  <c r="F81" i="8"/>
  <c r="E81" i="8"/>
  <c r="C81" i="8"/>
  <c r="P80" i="8"/>
  <c r="M80" i="8"/>
  <c r="F80" i="8"/>
  <c r="E80" i="8"/>
  <c r="C80" i="8"/>
  <c r="F79" i="8"/>
  <c r="E79" i="8"/>
  <c r="C79" i="8"/>
  <c r="P78" i="8"/>
  <c r="M78" i="8"/>
  <c r="J78" i="8"/>
  <c r="F78" i="8"/>
  <c r="E78" i="8"/>
  <c r="C78" i="8"/>
  <c r="P77" i="8"/>
  <c r="M77" i="8"/>
  <c r="F77" i="8"/>
  <c r="E77" i="8"/>
  <c r="C77" i="8"/>
  <c r="F76" i="8"/>
  <c r="E76" i="8"/>
  <c r="C76" i="8"/>
  <c r="P75" i="8"/>
  <c r="M75" i="8"/>
  <c r="F75" i="8"/>
  <c r="E75" i="8"/>
  <c r="C75" i="8"/>
  <c r="P74" i="8"/>
  <c r="M74" i="8"/>
  <c r="J74" i="8"/>
  <c r="F74" i="8"/>
  <c r="E74" i="8"/>
  <c r="C74" i="8"/>
  <c r="P73" i="8"/>
  <c r="M73" i="8"/>
  <c r="I73" i="8"/>
  <c r="J73" i="8" s="1"/>
  <c r="F73" i="8"/>
  <c r="E73" i="8"/>
  <c r="C73" i="8"/>
  <c r="P71" i="8"/>
  <c r="M71" i="8"/>
  <c r="I71" i="8"/>
  <c r="J71" i="8" s="1"/>
  <c r="F71" i="8"/>
  <c r="E71" i="8"/>
  <c r="C71" i="8"/>
  <c r="F70" i="8"/>
  <c r="E70" i="8"/>
  <c r="C70" i="8"/>
  <c r="J69" i="8"/>
  <c r="F69" i="8"/>
  <c r="E69" i="8"/>
  <c r="C69" i="8"/>
  <c r="F68" i="8"/>
  <c r="E68" i="8"/>
  <c r="C68" i="8"/>
  <c r="P67" i="8"/>
  <c r="M67" i="8"/>
  <c r="J67" i="8"/>
  <c r="F67" i="8"/>
  <c r="E67" i="8"/>
  <c r="C67" i="8"/>
  <c r="J66" i="8"/>
  <c r="F66" i="8"/>
  <c r="E66" i="8"/>
  <c r="C66" i="8"/>
  <c r="P65" i="8"/>
  <c r="M65" i="8"/>
  <c r="J65" i="8"/>
  <c r="F65" i="8"/>
  <c r="E65" i="8"/>
  <c r="C65" i="8"/>
  <c r="F64" i="8"/>
  <c r="E64" i="8"/>
  <c r="C64" i="8"/>
  <c r="F63" i="8"/>
  <c r="E63" i="8"/>
  <c r="C63" i="8"/>
  <c r="F62" i="8"/>
  <c r="E62" i="8"/>
  <c r="C62" i="8"/>
  <c r="F61" i="8"/>
  <c r="E61" i="8"/>
  <c r="C61" i="8"/>
  <c r="I60" i="8"/>
  <c r="J60" i="8" s="1"/>
  <c r="F60" i="8"/>
  <c r="E60" i="8"/>
  <c r="C60" i="8"/>
  <c r="P59" i="8"/>
  <c r="M59" i="8"/>
  <c r="J59" i="8"/>
  <c r="F59" i="8"/>
  <c r="E59" i="8"/>
  <c r="C59" i="8"/>
  <c r="I58" i="8"/>
  <c r="J58" i="8" s="1"/>
  <c r="F58" i="8"/>
  <c r="E58" i="8"/>
  <c r="C58" i="8"/>
  <c r="I57" i="8"/>
  <c r="F57" i="8"/>
  <c r="E57" i="8"/>
  <c r="C57" i="8"/>
  <c r="I56" i="8"/>
  <c r="F56" i="8"/>
  <c r="E56" i="8"/>
  <c r="C56" i="8"/>
  <c r="I55" i="8"/>
  <c r="J55" i="8" s="1"/>
  <c r="F55" i="8"/>
  <c r="E55" i="8"/>
  <c r="C55" i="8"/>
  <c r="P54" i="8"/>
  <c r="M54" i="8"/>
  <c r="J54" i="8"/>
  <c r="F54" i="8"/>
  <c r="E54" i="8"/>
  <c r="C54" i="8"/>
  <c r="F52" i="8"/>
  <c r="E52" i="8"/>
  <c r="C52" i="8"/>
  <c r="P51" i="8"/>
  <c r="M51" i="8"/>
  <c r="J51" i="8"/>
  <c r="F51" i="8"/>
  <c r="E51" i="8"/>
  <c r="C51" i="8"/>
  <c r="P50" i="8"/>
  <c r="M50" i="8"/>
  <c r="F50" i="8"/>
  <c r="E50" i="8"/>
  <c r="C50" i="8"/>
  <c r="P49" i="8"/>
  <c r="M49" i="8"/>
  <c r="J49" i="8"/>
  <c r="F49" i="8"/>
  <c r="E49" i="8"/>
  <c r="C49" i="8"/>
  <c r="F48" i="8"/>
  <c r="E48" i="8"/>
  <c r="C48" i="8"/>
  <c r="P47" i="8"/>
  <c r="M47" i="8"/>
  <c r="J47" i="8"/>
  <c r="F47" i="8"/>
  <c r="E47" i="8"/>
  <c r="C47" i="8"/>
  <c r="P46" i="8"/>
  <c r="M46" i="8"/>
  <c r="J46" i="8"/>
  <c r="F46" i="8"/>
  <c r="E46" i="8"/>
  <c r="C46" i="8"/>
  <c r="F45" i="8"/>
  <c r="E45" i="8"/>
  <c r="C45" i="8"/>
  <c r="J44" i="8"/>
  <c r="F44" i="8"/>
  <c r="E44" i="8"/>
  <c r="C44" i="8"/>
  <c r="F43" i="8"/>
  <c r="E43" i="8"/>
  <c r="C43" i="8"/>
  <c r="P39" i="8"/>
  <c r="M39" i="8"/>
  <c r="J39" i="8"/>
  <c r="F39" i="8"/>
  <c r="E39" i="8"/>
  <c r="C39" i="8"/>
  <c r="F38" i="8"/>
  <c r="E38" i="8"/>
  <c r="C38" i="8"/>
  <c r="F37" i="8"/>
  <c r="E37" i="8"/>
  <c r="C37" i="8"/>
  <c r="F36" i="8"/>
  <c r="E36" i="8"/>
  <c r="C36" i="8"/>
  <c r="P35" i="8"/>
  <c r="M35" i="8"/>
  <c r="J35" i="8"/>
  <c r="F35" i="8"/>
  <c r="E35" i="8"/>
  <c r="C35" i="8"/>
  <c r="P34" i="8"/>
  <c r="M34" i="8"/>
  <c r="J34" i="8"/>
  <c r="F34" i="8"/>
  <c r="E34" i="8"/>
  <c r="C34" i="8"/>
  <c r="P33" i="8"/>
  <c r="M33" i="8"/>
  <c r="J33" i="8"/>
  <c r="F33" i="8"/>
  <c r="E33" i="8"/>
  <c r="C33" i="8"/>
  <c r="P32" i="8"/>
  <c r="M32" i="8"/>
  <c r="F32" i="8"/>
  <c r="E32" i="8"/>
  <c r="C32" i="8"/>
  <c r="J31" i="8"/>
  <c r="F31" i="8"/>
  <c r="E31" i="8"/>
  <c r="C31" i="8"/>
  <c r="P30" i="8"/>
  <c r="M30" i="8"/>
  <c r="J30" i="8"/>
  <c r="F30" i="8"/>
  <c r="E30" i="8"/>
  <c r="J29" i="8"/>
  <c r="F29" i="8"/>
  <c r="E29" i="8"/>
  <c r="C29" i="8"/>
  <c r="P28" i="8"/>
  <c r="M28" i="8"/>
  <c r="J28" i="8"/>
  <c r="F28" i="8"/>
  <c r="E28" i="8"/>
  <c r="C28" i="8"/>
  <c r="P27" i="8"/>
  <c r="M27" i="8"/>
  <c r="J27" i="8"/>
  <c r="F27" i="8"/>
  <c r="E27" i="8"/>
  <c r="C27" i="8"/>
  <c r="G13" i="8"/>
  <c r="G10" i="8"/>
  <c r="K22" i="7"/>
  <c r="J22" i="7"/>
  <c r="P98" i="4"/>
  <c r="M98" i="4"/>
  <c r="J92" i="8" l="1"/>
  <c r="Y217" i="8"/>
  <c r="Z217" i="8" s="1"/>
  <c r="U141" i="8"/>
  <c r="S91" i="8"/>
  <c r="X91" i="8" s="1"/>
  <c r="Q141" i="8"/>
  <c r="U189" i="8"/>
  <c r="Q42" i="8"/>
  <c r="T141" i="8"/>
  <c r="R141" i="8"/>
  <c r="S141" i="8"/>
  <c r="X141" i="8" s="1"/>
  <c r="T42" i="8"/>
  <c r="R90" i="8"/>
  <c r="U42" i="8"/>
  <c r="R42" i="8"/>
  <c r="S42" i="8"/>
  <c r="X42" i="8" s="1"/>
  <c r="Q91" i="8"/>
  <c r="R72" i="8"/>
  <c r="U90" i="8"/>
  <c r="U72" i="8"/>
  <c r="T72" i="8"/>
  <c r="Q72" i="8"/>
  <c r="S72" i="8"/>
  <c r="X72" i="8" s="1"/>
  <c r="T91" i="8"/>
  <c r="R91" i="8"/>
  <c r="U91" i="8"/>
  <c r="Q90" i="8"/>
  <c r="S90" i="8"/>
  <c r="X90" i="8" s="1"/>
  <c r="T90" i="8"/>
  <c r="T196" i="8"/>
  <c r="R189" i="8"/>
  <c r="R196" i="8"/>
  <c r="T189" i="8"/>
  <c r="S189" i="8"/>
  <c r="X189" i="8" s="1"/>
  <c r="Q189" i="8"/>
  <c r="S196" i="8"/>
  <c r="X196" i="8" s="1"/>
  <c r="U196" i="8"/>
  <c r="Q196" i="8"/>
  <c r="T164" i="8"/>
  <c r="S157" i="8"/>
  <c r="X157" i="8" s="1"/>
  <c r="T79" i="8"/>
  <c r="T171" i="8"/>
  <c r="U79" i="8"/>
  <c r="U171" i="8"/>
  <c r="R171" i="8"/>
  <c r="Q171" i="8"/>
  <c r="S171" i="8"/>
  <c r="X171" i="8" s="1"/>
  <c r="J130" i="8"/>
  <c r="S79" i="8"/>
  <c r="X79" i="8" s="1"/>
  <c r="G5" i="8"/>
  <c r="Q128" i="8"/>
  <c r="R79" i="8"/>
  <c r="Q79" i="8"/>
  <c r="T102" i="8"/>
  <c r="S178" i="8"/>
  <c r="S128" i="8"/>
  <c r="X128" i="8" s="1"/>
  <c r="T128" i="8"/>
  <c r="U128" i="8"/>
  <c r="R128" i="8"/>
  <c r="R73" i="8"/>
  <c r="Q203" i="8"/>
  <c r="U89" i="8"/>
  <c r="S106" i="8"/>
  <c r="S108" i="8"/>
  <c r="S110" i="8"/>
  <c r="Q204" i="8"/>
  <c r="U190" i="8"/>
  <c r="Q74" i="8"/>
  <c r="J57" i="8"/>
  <c r="T30" i="8"/>
  <c r="Q35" i="8"/>
  <c r="U39" i="8"/>
  <c r="T54" i="8"/>
  <c r="Q78" i="8"/>
  <c r="T88" i="8"/>
  <c r="T106" i="8"/>
  <c r="S120" i="8"/>
  <c r="S132" i="8"/>
  <c r="S146" i="8"/>
  <c r="Q202" i="8"/>
  <c r="Q206" i="8"/>
  <c r="S32" i="8"/>
  <c r="X32" i="8" s="1"/>
  <c r="S169" i="8"/>
  <c r="Q205" i="8"/>
  <c r="S185" i="8"/>
  <c r="U105" i="8"/>
  <c r="S119" i="8"/>
  <c r="Q159" i="8"/>
  <c r="T161" i="8"/>
  <c r="T163" i="8"/>
  <c r="S199" i="8"/>
  <c r="Q193" i="8"/>
  <c r="U176" i="8"/>
  <c r="U65" i="8"/>
  <c r="U71" i="8"/>
  <c r="U75" i="8"/>
  <c r="Q77" i="8"/>
  <c r="T80" i="8"/>
  <c r="U88" i="8"/>
  <c r="U107" i="8"/>
  <c r="U114" i="8"/>
  <c r="U117" i="8"/>
  <c r="T149" i="8"/>
  <c r="T152" i="8"/>
  <c r="T154" i="8"/>
  <c r="Q156" i="8"/>
  <c r="S176" i="8"/>
  <c r="X176" i="8" s="1"/>
  <c r="U188" i="8"/>
  <c r="T200" i="8"/>
  <c r="U202" i="8"/>
  <c r="U203" i="8"/>
  <c r="U204" i="8"/>
  <c r="U205" i="8"/>
  <c r="U206" i="8"/>
  <c r="R117" i="8"/>
  <c r="U73" i="8"/>
  <c r="U74" i="8"/>
  <c r="U78" i="8"/>
  <c r="U101" i="8"/>
  <c r="S104" i="8"/>
  <c r="U112" i="8"/>
  <c r="T127" i="8"/>
  <c r="G12" i="8"/>
  <c r="Q137" i="8"/>
  <c r="Q161" i="8"/>
  <c r="T185" i="8"/>
  <c r="U187" i="8"/>
  <c r="U193" i="8"/>
  <c r="T39" i="8"/>
  <c r="U67" i="8"/>
  <c r="Q75" i="8"/>
  <c r="U77" i="8"/>
  <c r="T89" i="8"/>
  <c r="T98" i="8"/>
  <c r="U115" i="8"/>
  <c r="T133" i="8"/>
  <c r="S147" i="8"/>
  <c r="T151" i="8"/>
  <c r="T153" i="8"/>
  <c r="T155" i="8"/>
  <c r="U157" i="8"/>
  <c r="U192" i="8"/>
  <c r="S197" i="8"/>
  <c r="T202" i="8"/>
  <c r="T203" i="8"/>
  <c r="T204" i="8"/>
  <c r="T205" i="8"/>
  <c r="T206" i="8"/>
  <c r="U32" i="8"/>
  <c r="S28" i="8"/>
  <c r="X28" i="8" s="1"/>
  <c r="Q30" i="8"/>
  <c r="T32" i="8"/>
  <c r="S33" i="8"/>
  <c r="X33" i="8" s="1"/>
  <c r="S35" i="8"/>
  <c r="X35" i="8" s="1"/>
  <c r="S47" i="8"/>
  <c r="S50" i="8"/>
  <c r="Q54" i="8"/>
  <c r="S67" i="8"/>
  <c r="U80" i="8"/>
  <c r="S98" i="8"/>
  <c r="Q101" i="8"/>
  <c r="T104" i="8"/>
  <c r="S105" i="8"/>
  <c r="U108" i="8"/>
  <c r="S114" i="8"/>
  <c r="S117" i="8"/>
  <c r="U119" i="8"/>
  <c r="S127" i="8"/>
  <c r="S131" i="8"/>
  <c r="T137" i="8"/>
  <c r="Q149" i="8"/>
  <c r="Q151" i="8"/>
  <c r="Q152" i="8"/>
  <c r="Q153" i="8"/>
  <c r="Q154" i="8"/>
  <c r="Q155" i="8"/>
  <c r="T157" i="8"/>
  <c r="S159" i="8"/>
  <c r="T169" i="8"/>
  <c r="Q176" i="8"/>
  <c r="S200" i="8"/>
  <c r="T187" i="8"/>
  <c r="T188" i="8"/>
  <c r="T190" i="8"/>
  <c r="T192" i="8"/>
  <c r="T193" i="8"/>
  <c r="T199" i="8"/>
  <c r="R30" i="8"/>
  <c r="Q32" i="8"/>
  <c r="U54" i="8"/>
  <c r="S101" i="8"/>
  <c r="S133" i="8"/>
  <c r="U149" i="8"/>
  <c r="U151" i="8"/>
  <c r="U152" i="8"/>
  <c r="U153" i="8"/>
  <c r="U154" i="8"/>
  <c r="U155" i="8"/>
  <c r="S163" i="8"/>
  <c r="Q169" i="8"/>
  <c r="T176" i="8"/>
  <c r="S30" i="8"/>
  <c r="X30" i="8" s="1"/>
  <c r="U30" i="8"/>
  <c r="R32" i="8"/>
  <c r="Q39" i="8"/>
  <c r="S46" i="8"/>
  <c r="S49" i="8"/>
  <c r="S51" i="8"/>
  <c r="G9" i="8"/>
  <c r="S65" i="8"/>
  <c r="T73" i="8"/>
  <c r="T74" i="8"/>
  <c r="T75" i="8"/>
  <c r="T77" i="8"/>
  <c r="T78" i="8"/>
  <c r="R80" i="8"/>
  <c r="Q88" i="8"/>
  <c r="Q89" i="8"/>
  <c r="Q105" i="8"/>
  <c r="S107" i="8"/>
  <c r="U110" i="8"/>
  <c r="S112" i="8"/>
  <c r="S115" i="8"/>
  <c r="U120" i="8"/>
  <c r="T132" i="8"/>
  <c r="U137" i="8"/>
  <c r="S149" i="8"/>
  <c r="S151" i="8"/>
  <c r="X151" i="8" s="1"/>
  <c r="S152" i="8"/>
  <c r="X152" i="8" s="1"/>
  <c r="S153" i="8"/>
  <c r="X153" i="8" s="1"/>
  <c r="S154" i="8"/>
  <c r="X154" i="8" s="1"/>
  <c r="S155" i="8"/>
  <c r="X155" i="8" s="1"/>
  <c r="S156" i="8"/>
  <c r="X156" i="8" s="1"/>
  <c r="Q157" i="8"/>
  <c r="T159" i="8"/>
  <c r="S161" i="8"/>
  <c r="U169" i="8"/>
  <c r="Q187" i="8"/>
  <c r="Q188" i="8"/>
  <c r="Q190" i="8"/>
  <c r="Q192" i="8"/>
  <c r="S71" i="8"/>
  <c r="T35" i="8"/>
  <c r="R35" i="8"/>
  <c r="U35" i="8"/>
  <c r="S27" i="8"/>
  <c r="Q27" i="8"/>
  <c r="U27" i="8"/>
  <c r="R27" i="8"/>
  <c r="T27" i="8"/>
  <c r="T29" i="8"/>
  <c r="U29" i="8"/>
  <c r="Q29" i="8"/>
  <c r="R29" i="8"/>
  <c r="S29" i="8"/>
  <c r="X29" i="8" s="1"/>
  <c r="U28" i="8"/>
  <c r="Q28" i="8"/>
  <c r="R28" i="8"/>
  <c r="T28" i="8"/>
  <c r="Q33" i="8"/>
  <c r="R33" i="8"/>
  <c r="U33" i="8"/>
  <c r="T33" i="8"/>
  <c r="S34" i="8"/>
  <c r="X34" i="8" s="1"/>
  <c r="U34" i="8"/>
  <c r="T34" i="8"/>
  <c r="Q34" i="8"/>
  <c r="R34" i="8"/>
  <c r="G6" i="8"/>
  <c r="J56" i="8"/>
  <c r="U59" i="8"/>
  <c r="T59" i="8"/>
  <c r="Q59" i="8"/>
  <c r="X27" i="8"/>
  <c r="T46" i="8"/>
  <c r="T47" i="8"/>
  <c r="T49" i="8"/>
  <c r="T50" i="8"/>
  <c r="T51" i="8"/>
  <c r="U102" i="8"/>
  <c r="S123" i="8"/>
  <c r="U123" i="8"/>
  <c r="Q123" i="8"/>
  <c r="S124" i="8"/>
  <c r="U124" i="8"/>
  <c r="Q124" i="8"/>
  <c r="T125" i="8"/>
  <c r="S125" i="8"/>
  <c r="Q125" i="8"/>
  <c r="S160" i="8"/>
  <c r="T160" i="8"/>
  <c r="Q160" i="8"/>
  <c r="U160" i="8"/>
  <c r="U212" i="8"/>
  <c r="Q212" i="8"/>
  <c r="S212" i="8"/>
  <c r="U219" i="8"/>
  <c r="Q219" i="8"/>
  <c r="S219" i="8"/>
  <c r="R219" i="8"/>
  <c r="R218" i="8"/>
  <c r="R215" i="8"/>
  <c r="R213" i="8"/>
  <c r="R212" i="8"/>
  <c r="R236" i="8"/>
  <c r="R184" i="8"/>
  <c r="R176" i="8"/>
  <c r="R157" i="8"/>
  <c r="R156" i="8"/>
  <c r="R197" i="8"/>
  <c r="R178" i="8"/>
  <c r="R170" i="8"/>
  <c r="R168" i="8"/>
  <c r="R163" i="8"/>
  <c r="R147" i="8"/>
  <c r="R146" i="8"/>
  <c r="R198" i="8"/>
  <c r="R160" i="8"/>
  <c r="R133" i="8"/>
  <c r="R132" i="8"/>
  <c r="R131" i="8"/>
  <c r="R127" i="8"/>
  <c r="R126" i="8"/>
  <c r="R206" i="8"/>
  <c r="R205" i="8"/>
  <c r="R204" i="8"/>
  <c r="R203" i="8"/>
  <c r="R202" i="8"/>
  <c r="R199" i="8"/>
  <c r="R193" i="8"/>
  <c r="R192" i="8"/>
  <c r="R190" i="8"/>
  <c r="R188" i="8"/>
  <c r="R187" i="8"/>
  <c r="R169" i="8"/>
  <c r="R137" i="8"/>
  <c r="R136" i="8"/>
  <c r="R125" i="8"/>
  <c r="R185" i="8"/>
  <c r="R154" i="8"/>
  <c r="R149" i="8"/>
  <c r="R112" i="8"/>
  <c r="R110" i="8"/>
  <c r="R108" i="8"/>
  <c r="R107" i="8"/>
  <c r="R106" i="8"/>
  <c r="R105" i="8"/>
  <c r="R104" i="8"/>
  <c r="R102" i="8"/>
  <c r="R101" i="8"/>
  <c r="R161" i="8"/>
  <c r="R155" i="8"/>
  <c r="R151" i="8"/>
  <c r="R124" i="8"/>
  <c r="R123" i="8"/>
  <c r="R200" i="8"/>
  <c r="R164" i="8"/>
  <c r="R152" i="8"/>
  <c r="R39" i="8"/>
  <c r="Q46" i="8"/>
  <c r="U46" i="8"/>
  <c r="Q47" i="8"/>
  <c r="U47" i="8"/>
  <c r="Q49" i="8"/>
  <c r="U49" i="8"/>
  <c r="Q50" i="8"/>
  <c r="U50" i="8"/>
  <c r="Q51" i="8"/>
  <c r="U51" i="8"/>
  <c r="R54" i="8"/>
  <c r="R59" i="8"/>
  <c r="T65" i="8"/>
  <c r="T67" i="8"/>
  <c r="T71" i="8"/>
  <c r="S73" i="8"/>
  <c r="R74" i="8"/>
  <c r="R75" i="8"/>
  <c r="R77" i="8"/>
  <c r="R78" i="8"/>
  <c r="S80" i="8"/>
  <c r="R88" i="8"/>
  <c r="R89" i="8"/>
  <c r="U98" i="8"/>
  <c r="Q102" i="8"/>
  <c r="U104" i="8"/>
  <c r="T105" i="8"/>
  <c r="R119" i="8"/>
  <c r="T123" i="8"/>
  <c r="T124" i="8"/>
  <c r="U125" i="8"/>
  <c r="S136" i="8"/>
  <c r="U136" i="8"/>
  <c r="T136" i="8"/>
  <c r="Q136" i="8"/>
  <c r="R159" i="8"/>
  <c r="S39" i="8"/>
  <c r="X39" i="8" s="1"/>
  <c r="R46" i="8"/>
  <c r="R47" i="8"/>
  <c r="R49" i="8"/>
  <c r="R50" i="8"/>
  <c r="R51" i="8"/>
  <c r="S54" i="8"/>
  <c r="X54" i="8" s="1"/>
  <c r="S59" i="8"/>
  <c r="Q65" i="8"/>
  <c r="Q67" i="8"/>
  <c r="Q71" i="8"/>
  <c r="S74" i="8"/>
  <c r="X74" i="8" s="1"/>
  <c r="S75" i="8"/>
  <c r="X75" i="8" s="1"/>
  <c r="S77" i="8"/>
  <c r="X77" i="8" s="1"/>
  <c r="S78" i="8"/>
  <c r="X78" i="8" s="1"/>
  <c r="S88" i="8"/>
  <c r="X88" i="8" s="1"/>
  <c r="S89" i="8"/>
  <c r="X89" i="8" s="1"/>
  <c r="Q98" i="8"/>
  <c r="T101" i="8"/>
  <c r="S102" i="8"/>
  <c r="Q104" i="8"/>
  <c r="U106" i="8"/>
  <c r="Q106" i="8"/>
  <c r="R114" i="8"/>
  <c r="R120" i="8"/>
  <c r="Q168" i="8"/>
  <c r="U168" i="8"/>
  <c r="S168" i="8"/>
  <c r="R65" i="8"/>
  <c r="R67" i="8"/>
  <c r="R71" i="8"/>
  <c r="Q73" i="8"/>
  <c r="Q80" i="8"/>
  <c r="R98" i="8"/>
  <c r="R115" i="8"/>
  <c r="R153" i="8"/>
  <c r="T107" i="8"/>
  <c r="T108" i="8"/>
  <c r="T110" i="8"/>
  <c r="T112" i="8"/>
  <c r="U126" i="8"/>
  <c r="Q126" i="8"/>
  <c r="U131" i="8"/>
  <c r="Q131" i="8"/>
  <c r="U146" i="8"/>
  <c r="U147" i="8"/>
  <c r="Q170" i="8"/>
  <c r="U170" i="8"/>
  <c r="U198" i="8"/>
  <c r="Q198" i="8"/>
  <c r="S198" i="8"/>
  <c r="Q107" i="8"/>
  <c r="Q108" i="8"/>
  <c r="Q110" i="8"/>
  <c r="Q112" i="8"/>
  <c r="T114" i="8"/>
  <c r="T115" i="8"/>
  <c r="T117" i="8"/>
  <c r="T119" i="8"/>
  <c r="T120" i="8"/>
  <c r="S126" i="8"/>
  <c r="U184" i="8"/>
  <c r="Q184" i="8"/>
  <c r="T184" i="8"/>
  <c r="S184" i="8"/>
  <c r="U213" i="8"/>
  <c r="Q213" i="8"/>
  <c r="S213" i="8"/>
  <c r="U215" i="8"/>
  <c r="Q215" i="8"/>
  <c r="S215" i="8"/>
  <c r="U218" i="8"/>
  <c r="Q218" i="8"/>
  <c r="S218" i="8"/>
  <c r="S236" i="8"/>
  <c r="T236" i="8"/>
  <c r="Q114" i="8"/>
  <c r="Q115" i="8"/>
  <c r="Q117" i="8"/>
  <c r="Q119" i="8"/>
  <c r="Q120" i="8"/>
  <c r="T126" i="8"/>
  <c r="U127" i="8"/>
  <c r="Q127" i="8"/>
  <c r="T131" i="8"/>
  <c r="U132" i="8"/>
  <c r="Q132" i="8"/>
  <c r="U133" i="8"/>
  <c r="Q133" i="8"/>
  <c r="T156" i="8"/>
  <c r="S170" i="8"/>
  <c r="T146" i="8"/>
  <c r="T147" i="8"/>
  <c r="U156" i="8"/>
  <c r="S164" i="8"/>
  <c r="T168" i="8"/>
  <c r="T170" i="8"/>
  <c r="U178" i="8"/>
  <c r="Q178" i="8"/>
  <c r="U197" i="8"/>
  <c r="Q197" i="8"/>
  <c r="T198" i="8"/>
  <c r="S137" i="8"/>
  <c r="X137" i="8" s="1"/>
  <c r="Q146" i="8"/>
  <c r="Q147" i="8"/>
  <c r="U159" i="8"/>
  <c r="U161" i="8"/>
  <c r="U163" i="8"/>
  <c r="Q163" i="8"/>
  <c r="T178" i="8"/>
  <c r="U185" i="8"/>
  <c r="Q185" i="8"/>
  <c r="T197" i="8"/>
  <c r="U200" i="8"/>
  <c r="Q200" i="8"/>
  <c r="T219" i="8"/>
  <c r="U164" i="8"/>
  <c r="Q164" i="8"/>
  <c r="U199" i="8"/>
  <c r="Q199" i="8"/>
  <c r="Q236" i="8"/>
  <c r="V236" i="8" s="1"/>
  <c r="U236" i="8"/>
  <c r="S187" i="8"/>
  <c r="X187" i="8" s="1"/>
  <c r="S188" i="8"/>
  <c r="X188" i="8" s="1"/>
  <c r="S190" i="8"/>
  <c r="X190" i="8" s="1"/>
  <c r="S192" i="8"/>
  <c r="X192" i="8" s="1"/>
  <c r="S193" i="8"/>
  <c r="X193" i="8" s="1"/>
  <c r="S202" i="8"/>
  <c r="X202" i="8" s="1"/>
  <c r="S203" i="8"/>
  <c r="X203" i="8" s="1"/>
  <c r="S204" i="8"/>
  <c r="X204" i="8" s="1"/>
  <c r="S205" i="8"/>
  <c r="X205" i="8" s="1"/>
  <c r="S206" i="8"/>
  <c r="X206" i="8" s="1"/>
  <c r="T212" i="8"/>
  <c r="T213" i="8"/>
  <c r="T215" i="8"/>
  <c r="T218" i="8"/>
  <c r="L22" i="7"/>
  <c r="Y42" i="8" l="1"/>
  <c r="Y141" i="8"/>
  <c r="Z141" i="8" s="1"/>
  <c r="Y91" i="8"/>
  <c r="Z91" i="8" s="1"/>
  <c r="Y29" i="8"/>
  <c r="Z29" i="8" s="1"/>
  <c r="Z42" i="8"/>
  <c r="Y196" i="8"/>
  <c r="Z196" i="8" s="1"/>
  <c r="Y90" i="8"/>
  <c r="Z90" i="8" s="1"/>
  <c r="Y72" i="8"/>
  <c r="Z72" i="8" s="1"/>
  <c r="Y189" i="8"/>
  <c r="Z189" i="8" s="1"/>
  <c r="Y79" i="8"/>
  <c r="Z79" i="8" s="1"/>
  <c r="Y32" i="8"/>
  <c r="Z32" i="8" s="1"/>
  <c r="Y171" i="8"/>
  <c r="Z171" i="8" s="1"/>
  <c r="X50" i="8"/>
  <c r="Y50" i="8" s="1"/>
  <c r="Z50" i="8" s="1"/>
  <c r="X71" i="8"/>
  <c r="Y71" i="8" s="1"/>
  <c r="Z71" i="8" s="1"/>
  <c r="Y128" i="8"/>
  <c r="Z128" i="8" s="1"/>
  <c r="G8" i="8"/>
  <c r="Y154" i="8"/>
  <c r="Z154" i="8" s="1"/>
  <c r="Y153" i="8"/>
  <c r="Z153" i="8" s="1"/>
  <c r="X159" i="8"/>
  <c r="Y159" i="8" s="1"/>
  <c r="Y30" i="8"/>
  <c r="Z30" i="8" s="1"/>
  <c r="X149" i="8"/>
  <c r="Y149" i="8" s="1"/>
  <c r="Y176" i="8"/>
  <c r="Z176" i="8" s="1"/>
  <c r="Y35" i="8"/>
  <c r="Z35" i="8" s="1"/>
  <c r="Y28" i="8"/>
  <c r="Z28" i="8" s="1"/>
  <c r="X169" i="8"/>
  <c r="Y169" i="8" s="1"/>
  <c r="Z169" i="8" s="1"/>
  <c r="X49" i="8"/>
  <c r="Y49" i="8" s="1"/>
  <c r="Z49" i="8" s="1"/>
  <c r="X161" i="8"/>
  <c r="Y161" i="8" s="1"/>
  <c r="Y187" i="8"/>
  <c r="Z187" i="8" s="1"/>
  <c r="X51" i="8"/>
  <c r="Y51" i="8" s="1"/>
  <c r="Z51" i="8" s="1"/>
  <c r="Y157" i="8"/>
  <c r="Z157" i="8" s="1"/>
  <c r="Y152" i="8"/>
  <c r="Z152" i="8" s="1"/>
  <c r="Y206" i="8"/>
  <c r="Z206" i="8" s="1"/>
  <c r="G11" i="8"/>
  <c r="X65" i="8"/>
  <c r="Y65" i="8" s="1"/>
  <c r="Z65" i="8" s="1"/>
  <c r="X46" i="8"/>
  <c r="Y46" i="8" s="1"/>
  <c r="Z46" i="8" s="1"/>
  <c r="Y33" i="8"/>
  <c r="Z33" i="8" s="1"/>
  <c r="Y156" i="8"/>
  <c r="Z156" i="8" s="1"/>
  <c r="X67" i="8"/>
  <c r="Y67" i="8" s="1"/>
  <c r="Z67" i="8" s="1"/>
  <c r="Y54" i="8"/>
  <c r="Z54" i="8" s="1"/>
  <c r="X47" i="8"/>
  <c r="Y47" i="8" s="1"/>
  <c r="Z47" i="8" s="1"/>
  <c r="Y27" i="8"/>
  <c r="Z27" i="8" s="1"/>
  <c r="Y34" i="8"/>
  <c r="Z34" i="8" s="1"/>
  <c r="Y39" i="8"/>
  <c r="Z39" i="8" s="1"/>
  <c r="Y75" i="8"/>
  <c r="Z75" i="8" s="1"/>
  <c r="Y155" i="8"/>
  <c r="Y188" i="8"/>
  <c r="Z188" i="8" s="1"/>
  <c r="Y89" i="8"/>
  <c r="Z89" i="8" s="1"/>
  <c r="Y137" i="8"/>
  <c r="Z137" i="8" s="1"/>
  <c r="X43" i="8"/>
  <c r="Y43" i="8" s="1"/>
  <c r="X59" i="8"/>
  <c r="Y59" i="8" s="1"/>
  <c r="Z59" i="8" s="1"/>
  <c r="X106" i="8"/>
  <c r="Y106" i="8" s="1"/>
  <c r="Z106" i="8" s="1"/>
  <c r="X197" i="8"/>
  <c r="Y197" i="8" s="1"/>
  <c r="Z197" i="8" s="1"/>
  <c r="X119" i="8"/>
  <c r="Y119" i="8" s="1"/>
  <c r="Y205" i="8"/>
  <c r="Z205" i="8" s="1"/>
  <c r="Y151" i="8"/>
  <c r="Z151" i="8" s="1"/>
  <c r="X120" i="8"/>
  <c r="X199" i="8"/>
  <c r="X131" i="8"/>
  <c r="Y131" i="8" s="1"/>
  <c r="X163" i="8"/>
  <c r="X184" i="8"/>
  <c r="X160" i="8"/>
  <c r="Y160" i="8" s="1"/>
  <c r="Z160" i="8" s="1"/>
  <c r="X125" i="8"/>
  <c r="X124" i="8"/>
  <c r="Y124" i="8" s="1"/>
  <c r="Z124" i="8" s="1"/>
  <c r="X73" i="8"/>
  <c r="Y78" i="8"/>
  <c r="Z78" i="8" s="1"/>
  <c r="Y74" i="8"/>
  <c r="X115" i="8"/>
  <c r="Y204" i="8"/>
  <c r="Z204" i="8" s="1"/>
  <c r="X117" i="8"/>
  <c r="Y117" i="8" s="1"/>
  <c r="X110" i="8"/>
  <c r="Y110" i="8" s="1"/>
  <c r="Y190" i="8"/>
  <c r="Z190" i="8" s="1"/>
  <c r="Y202" i="8"/>
  <c r="Z202" i="8" s="1"/>
  <c r="W236" i="8"/>
  <c r="X236" i="8" s="1"/>
  <c r="X219" i="8"/>
  <c r="Y219" i="8" s="1"/>
  <c r="Z219" i="8" s="1"/>
  <c r="Y193" i="8"/>
  <c r="Z193" i="8" s="1"/>
  <c r="X101" i="8"/>
  <c r="Y101" i="8" s="1"/>
  <c r="Y77" i="8"/>
  <c r="Z77" i="8" s="1"/>
  <c r="X126" i="8"/>
  <c r="Y126" i="8" s="1"/>
  <c r="X98" i="8"/>
  <c r="X80" i="8"/>
  <c r="Y80" i="8" s="1"/>
  <c r="Z80" i="8" s="1"/>
  <c r="X102" i="8"/>
  <c r="Y192" i="8"/>
  <c r="Z192" i="8" s="1"/>
  <c r="Y203" i="8"/>
  <c r="Z203" i="8" s="1"/>
  <c r="X212" i="8"/>
  <c r="X114" i="8"/>
  <c r="Y114" i="8" s="1"/>
  <c r="X105" i="8"/>
  <c r="X218" i="8"/>
  <c r="Y218" i="8" s="1"/>
  <c r="X213" i="8"/>
  <c r="X198" i="8"/>
  <c r="Y198" i="8" s="1"/>
  <c r="Z198" i="8" s="1"/>
  <c r="X168" i="8"/>
  <c r="Y168" i="8" s="1"/>
  <c r="X104" i="8"/>
  <c r="X133" i="8"/>
  <c r="X123" i="8"/>
  <c r="Y123" i="8" s="1"/>
  <c r="Y88" i="8"/>
  <c r="Z88" i="8" s="1"/>
  <c r="D46" i="7"/>
  <c r="G7" i="8" l="1"/>
  <c r="Z159" i="8"/>
  <c r="Z149" i="8"/>
  <c r="Z161" i="8"/>
  <c r="Z117" i="8"/>
  <c r="Z43" i="8"/>
  <c r="Z101" i="8"/>
  <c r="Z126" i="8"/>
  <c r="Z168" i="8"/>
  <c r="Y184" i="8"/>
  <c r="Z184" i="8" s="1"/>
  <c r="Z114" i="8"/>
  <c r="Y115" i="8"/>
  <c r="Z115" i="8" s="1"/>
  <c r="Z119" i="8"/>
  <c r="Y163" i="8"/>
  <c r="Z163" i="8" s="1"/>
  <c r="Y120" i="8"/>
  <c r="Z120" i="8" s="1"/>
  <c r="Y104" i="8"/>
  <c r="Z104" i="8" s="1"/>
  <c r="Y236" i="8"/>
  <c r="Z236" i="8" s="1"/>
  <c r="Z131" i="8"/>
  <c r="X215" i="8"/>
  <c r="Y215" i="8" s="1"/>
  <c r="Z215" i="8" s="1"/>
  <c r="X146" i="8"/>
  <c r="Y146" i="8" s="1"/>
  <c r="Z146" i="8" s="1"/>
  <c r="Y133" i="8"/>
  <c r="Z133" i="8" s="1"/>
  <c r="X132" i="8"/>
  <c r="Y132" i="8" s="1"/>
  <c r="Y102" i="8"/>
  <c r="Z102" i="8" s="1"/>
  <c r="X127" i="8"/>
  <c r="Y127" i="8" s="1"/>
  <c r="X170" i="8"/>
  <c r="Y212" i="8"/>
  <c r="Z212" i="8" s="1"/>
  <c r="X108" i="8"/>
  <c r="Y108" i="8" s="1"/>
  <c r="Z108" i="8" s="1"/>
  <c r="Y213" i="8"/>
  <c r="Z213" i="8" s="1"/>
  <c r="X178" i="8"/>
  <c r="Y178" i="8" s="1"/>
  <c r="Z178" i="8" s="1"/>
  <c r="Y98" i="8"/>
  <c r="Z98" i="8" s="1"/>
  <c r="X147" i="8"/>
  <c r="Y147" i="8" s="1"/>
  <c r="Z123" i="8"/>
  <c r="Y105" i="8"/>
  <c r="Z105" i="8" s="1"/>
  <c r="X107" i="8"/>
  <c r="Y107" i="8" s="1"/>
  <c r="Z107" i="8" s="1"/>
  <c r="Z218" i="8"/>
  <c r="X112" i="8"/>
  <c r="Y112" i="8" s="1"/>
  <c r="Z112" i="8" s="1"/>
  <c r="Y199" i="8"/>
  <c r="Z199" i="8" s="1"/>
  <c r="X164" i="8"/>
  <c r="Y73" i="8"/>
  <c r="Y125" i="8"/>
  <c r="Z125" i="8" s="1"/>
  <c r="Z110" i="8"/>
  <c r="X185" i="8"/>
  <c r="X200" i="8"/>
  <c r="Y200" i="8" s="1"/>
  <c r="X136" i="8"/>
  <c r="E23" i="7"/>
  <c r="D23" i="7"/>
  <c r="K29" i="7"/>
  <c r="J29" i="7"/>
  <c r="G14" i="8" l="1"/>
  <c r="G19" i="8"/>
  <c r="Z200" i="8"/>
  <c r="Z127" i="8"/>
  <c r="Y136" i="8"/>
  <c r="Z136" i="8" s="1"/>
  <c r="Y185" i="8"/>
  <c r="Z185" i="8" s="1"/>
  <c r="Z147" i="8"/>
  <c r="Y170" i="8"/>
  <c r="Z170" i="8" s="1"/>
  <c r="Z132" i="8"/>
  <c r="Y164" i="8"/>
  <c r="Z164" i="8" s="1"/>
  <c r="L29" i="7"/>
  <c r="D49" i="7"/>
  <c r="J43" i="7"/>
  <c r="D57" i="7"/>
  <c r="D56" i="7"/>
  <c r="D55" i="7"/>
  <c r="D54" i="7"/>
  <c r="D53" i="7"/>
  <c r="D52" i="7"/>
  <c r="D50" i="7"/>
  <c r="D48" i="7"/>
  <c r="D47" i="7"/>
  <c r="D45" i="7"/>
  <c r="D44" i="7"/>
  <c r="D43" i="7"/>
  <c r="J8" i="7"/>
  <c r="P75" i="3"/>
  <c r="M75" i="3"/>
  <c r="G21" i="8" l="1"/>
  <c r="G20" i="8"/>
  <c r="G22" i="8" l="1"/>
  <c r="G23" i="8" s="1"/>
  <c r="K37" i="7"/>
  <c r="K36" i="7"/>
  <c r="K35" i="7"/>
  <c r="K34" i="7"/>
  <c r="K33" i="7"/>
  <c r="K31" i="7"/>
  <c r="K30" i="7"/>
  <c r="K28" i="7"/>
  <c r="K27" i="7"/>
  <c r="K26" i="7"/>
  <c r="K25" i="7"/>
  <c r="K24" i="7"/>
  <c r="K23" i="7"/>
  <c r="K20" i="7"/>
  <c r="K19" i="7"/>
  <c r="K18" i="7"/>
  <c r="K13" i="7"/>
  <c r="K11" i="7"/>
  <c r="K10" i="7"/>
  <c r="K9" i="7"/>
  <c r="J36" i="7"/>
  <c r="J37" i="7"/>
  <c r="J35" i="7"/>
  <c r="J34" i="7"/>
  <c r="J33" i="7"/>
  <c r="J32" i="7"/>
  <c r="J31" i="7"/>
  <c r="J30" i="7"/>
  <c r="J28" i="7"/>
  <c r="J27" i="7"/>
  <c r="J26" i="7"/>
  <c r="J25" i="7"/>
  <c r="J24" i="7"/>
  <c r="J23" i="7"/>
  <c r="J21" i="7"/>
  <c r="J20" i="7"/>
  <c r="J19" i="7"/>
  <c r="J18" i="7"/>
  <c r="J17" i="7"/>
  <c r="J15" i="7"/>
  <c r="J14" i="7"/>
  <c r="J13" i="7"/>
  <c r="J12" i="7"/>
  <c r="J11" i="7"/>
  <c r="J10" i="7"/>
  <c r="J9" i="7"/>
  <c r="J6" i="7"/>
  <c r="J5" i="7"/>
  <c r="E36" i="7"/>
  <c r="E32" i="7"/>
  <c r="E29" i="7"/>
  <c r="E21" i="7"/>
  <c r="E18" i="7"/>
  <c r="E15" i="7"/>
  <c r="E14" i="7"/>
  <c r="E9" i="7"/>
  <c r="D36" i="7"/>
  <c r="D35" i="7"/>
  <c r="D34" i="7"/>
  <c r="D33" i="7"/>
  <c r="D32" i="7"/>
  <c r="D29" i="7"/>
  <c r="D28" i="7"/>
  <c r="D27" i="7"/>
  <c r="D26" i="7"/>
  <c r="D25" i="7"/>
  <c r="D24" i="7"/>
  <c r="D21" i="7"/>
  <c r="D20" i="7"/>
  <c r="D19" i="7"/>
  <c r="D18" i="7"/>
  <c r="D17" i="7"/>
  <c r="D15" i="7"/>
  <c r="D14" i="7"/>
  <c r="D13" i="7"/>
  <c r="D12" i="7"/>
  <c r="D11" i="7"/>
  <c r="D10" i="7"/>
  <c r="D9" i="7"/>
  <c r="D8" i="7"/>
  <c r="D7" i="7"/>
  <c r="D6" i="7"/>
  <c r="D5" i="7"/>
  <c r="I145" i="5"/>
  <c r="BE145" i="5" s="1"/>
  <c r="BH131" i="5"/>
  <c r="BH150" i="5" s="1"/>
  <c r="W131" i="5"/>
  <c r="W151" i="5" s="1"/>
  <c r="V131" i="5"/>
  <c r="V151" i="5" s="1"/>
  <c r="U131" i="5"/>
  <c r="U151" i="5" s="1"/>
  <c r="T131" i="5"/>
  <c r="T151" i="5" s="1"/>
  <c r="I131" i="5"/>
  <c r="BE130" i="5"/>
  <c r="J130" i="5"/>
  <c r="BE129" i="5"/>
  <c r="J129" i="5"/>
  <c r="BG128" i="5"/>
  <c r="J128" i="5"/>
  <c r="BE127" i="5"/>
  <c r="S127" i="5"/>
  <c r="J127" i="5"/>
  <c r="BE126" i="5"/>
  <c r="S126" i="5"/>
  <c r="J126" i="5"/>
  <c r="J125" i="5"/>
  <c r="J124" i="5"/>
  <c r="J123" i="5"/>
  <c r="BG122" i="5"/>
  <c r="J122" i="5"/>
  <c r="BG121" i="5"/>
  <c r="J121" i="5"/>
  <c r="J120" i="5"/>
  <c r="BE119" i="5"/>
  <c r="J119" i="5"/>
  <c r="BG118" i="5"/>
  <c r="J118" i="5"/>
  <c r="BG117" i="5"/>
  <c r="BE117" i="5"/>
  <c r="J117" i="5"/>
  <c r="BE116" i="5"/>
  <c r="J116" i="5"/>
  <c r="BE115" i="5"/>
  <c r="J115" i="5"/>
  <c r="BE114" i="5"/>
  <c r="J114" i="5"/>
  <c r="BE113" i="5"/>
  <c r="J113" i="5"/>
  <c r="A113" i="5"/>
  <c r="A116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0" i="5" s="1"/>
  <c r="BE112" i="5"/>
  <c r="J112" i="5"/>
  <c r="I108" i="5"/>
  <c r="H12" i="4" s="1"/>
  <c r="BE107" i="5"/>
  <c r="J107" i="5"/>
  <c r="BE106" i="5"/>
  <c r="J106" i="5"/>
  <c r="BE105" i="5"/>
  <c r="J105" i="5"/>
  <c r="BE104" i="5"/>
  <c r="J104" i="5"/>
  <c r="BE103" i="5"/>
  <c r="J103" i="5"/>
  <c r="BE102" i="5"/>
  <c r="R102" i="5"/>
  <c r="J102" i="5"/>
  <c r="BE101" i="5"/>
  <c r="R101" i="5"/>
  <c r="J101" i="5"/>
  <c r="BE100" i="5"/>
  <c r="Q100" i="5"/>
  <c r="J100" i="5"/>
  <c r="A100" i="5"/>
  <c r="A101" i="5" s="1"/>
  <c r="A102" i="5" s="1"/>
  <c r="A103" i="5" s="1"/>
  <c r="A104" i="5" s="1"/>
  <c r="BE99" i="5"/>
  <c r="R99" i="5"/>
  <c r="J99" i="5"/>
  <c r="BG98" i="5"/>
  <c r="R98" i="5"/>
  <c r="J98" i="5"/>
  <c r="BG97" i="5"/>
  <c r="R97" i="5"/>
  <c r="J97" i="5"/>
  <c r="BE96" i="5"/>
  <c r="R96" i="5"/>
  <c r="J96" i="5"/>
  <c r="A96" i="5"/>
  <c r="A97" i="5" s="1"/>
  <c r="A98" i="5" s="1"/>
  <c r="A99" i="5" s="1"/>
  <c r="BE95" i="5"/>
  <c r="R95" i="5"/>
  <c r="J95" i="5"/>
  <c r="R94" i="5"/>
  <c r="A94" i="5"/>
  <c r="BF93" i="5"/>
  <c r="R93" i="5"/>
  <c r="J93" i="5"/>
  <c r="A93" i="5"/>
  <c r="BE92" i="5"/>
  <c r="AC92" i="5"/>
  <c r="X92" i="5"/>
  <c r="J92" i="5"/>
  <c r="BI91" i="5"/>
  <c r="R91" i="5"/>
  <c r="J91" i="5"/>
  <c r="I89" i="5"/>
  <c r="H10" i="4" s="1"/>
  <c r="BE88" i="5"/>
  <c r="R88" i="5"/>
  <c r="J88" i="5"/>
  <c r="BE87" i="5"/>
  <c r="R87" i="5"/>
  <c r="J87" i="5"/>
  <c r="BE86" i="5"/>
  <c r="Q86" i="5"/>
  <c r="J86" i="5"/>
  <c r="BF85" i="5"/>
  <c r="R85" i="5"/>
  <c r="Q85" i="5" s="1"/>
  <c r="J85" i="5"/>
  <c r="R84" i="5"/>
  <c r="Q84" i="5" s="1"/>
  <c r="J84" i="5"/>
  <c r="BF83" i="5"/>
  <c r="BE83" i="5" s="1"/>
  <c r="Q83" i="5"/>
  <c r="J83" i="5"/>
  <c r="BF82" i="5"/>
  <c r="R82" i="5"/>
  <c r="Q82" i="5" s="1"/>
  <c r="J82" i="5"/>
  <c r="BE81" i="5"/>
  <c r="R81" i="5"/>
  <c r="J81" i="5"/>
  <c r="R80" i="5"/>
  <c r="J80" i="5"/>
  <c r="BE79" i="5"/>
  <c r="R79" i="5"/>
  <c r="J79" i="5"/>
  <c r="BE78" i="5"/>
  <c r="R78" i="5"/>
  <c r="J78" i="5"/>
  <c r="A78" i="5"/>
  <c r="A79" i="5" s="1"/>
  <c r="A80" i="5" s="1"/>
  <c r="A81" i="5" s="1"/>
  <c r="A82" i="5" s="1"/>
  <c r="A83" i="5" s="1"/>
  <c r="A84" i="5" s="1"/>
  <c r="A85" i="5" s="1"/>
  <c r="BE77" i="5"/>
  <c r="R77" i="5"/>
  <c r="Q77" i="5" s="1"/>
  <c r="J77" i="5"/>
  <c r="BE76" i="5"/>
  <c r="J76" i="5"/>
  <c r="BA75" i="5"/>
  <c r="R75" i="5"/>
  <c r="Q75" i="5" s="1"/>
  <c r="A75" i="5"/>
  <c r="BE72" i="5"/>
  <c r="S72" i="5"/>
  <c r="Q72" i="5"/>
  <c r="J72" i="5"/>
  <c r="BF71" i="5"/>
  <c r="Q71" i="5"/>
  <c r="J71" i="5"/>
  <c r="BE70" i="5"/>
  <c r="Q70" i="5"/>
  <c r="J70" i="5"/>
  <c r="R69" i="5"/>
  <c r="I69" i="5"/>
  <c r="BE68" i="5"/>
  <c r="Q68" i="5"/>
  <c r="J68" i="5"/>
  <c r="BE67" i="5"/>
  <c r="R67" i="5"/>
  <c r="Q67" i="5" s="1"/>
  <c r="J67" i="5"/>
  <c r="A67" i="5"/>
  <c r="A68" i="5" s="1"/>
  <c r="BG66" i="5"/>
  <c r="BF66" i="5"/>
  <c r="BE66" i="5"/>
  <c r="R66" i="5"/>
  <c r="Q66" i="5" s="1"/>
  <c r="J66" i="5"/>
  <c r="K66" i="5" s="1"/>
  <c r="A66" i="5"/>
  <c r="BI65" i="5"/>
  <c r="BE65" i="5"/>
  <c r="R65" i="5"/>
  <c r="Q65" i="5" s="1"/>
  <c r="J65" i="5"/>
  <c r="BG64" i="5"/>
  <c r="R64" i="5"/>
  <c r="Q64" i="5" s="1"/>
  <c r="BE63" i="5"/>
  <c r="Q63" i="5"/>
  <c r="J63" i="5"/>
  <c r="K63" i="5" s="1"/>
  <c r="BE62" i="5"/>
  <c r="Q62" i="5"/>
  <c r="J62" i="5"/>
  <c r="K62" i="5" s="1"/>
  <c r="BE61" i="5"/>
  <c r="AC61" i="5"/>
  <c r="X61" i="5"/>
  <c r="Q61" i="5"/>
  <c r="J61" i="5"/>
  <c r="A61" i="5"/>
  <c r="A62" i="5" s="1"/>
  <c r="A63" i="5" s="1"/>
  <c r="BF60" i="5"/>
  <c r="R60" i="5"/>
  <c r="Q60" i="5" s="1"/>
  <c r="J60" i="5"/>
  <c r="BE59" i="5"/>
  <c r="Q59" i="5"/>
  <c r="J59" i="5"/>
  <c r="K59" i="5" s="1"/>
  <c r="BE58" i="5"/>
  <c r="Q58" i="5"/>
  <c r="K58" i="5"/>
  <c r="BE57" i="5"/>
  <c r="R57" i="5"/>
  <c r="Q57" i="5" s="1"/>
  <c r="J57" i="5"/>
  <c r="A57" i="5"/>
  <c r="A58" i="5" s="1"/>
  <c r="A59" i="5" s="1"/>
  <c r="BE56" i="5"/>
  <c r="R56" i="5"/>
  <c r="Q56" i="5" s="1"/>
  <c r="J56" i="5"/>
  <c r="K56" i="5" s="1"/>
  <c r="I55" i="5"/>
  <c r="J55" i="5" s="1"/>
  <c r="K55" i="5" s="1"/>
  <c r="I54" i="5"/>
  <c r="BE54" i="5" s="1"/>
  <c r="BG53" i="5"/>
  <c r="Q53" i="5"/>
  <c r="J53" i="5"/>
  <c r="BF52" i="5"/>
  <c r="Q52" i="5"/>
  <c r="J52" i="5"/>
  <c r="BF51" i="5"/>
  <c r="Q51" i="5"/>
  <c r="J51" i="5"/>
  <c r="I50" i="5"/>
  <c r="Q50" i="5" s="1"/>
  <c r="R49" i="5"/>
  <c r="I49" i="5"/>
  <c r="I46" i="5"/>
  <c r="Q46" i="5" s="1"/>
  <c r="BG45" i="5"/>
  <c r="Q45" i="5"/>
  <c r="J45" i="5"/>
  <c r="K45" i="5" s="1"/>
  <c r="BG44" i="5"/>
  <c r="Q44" i="5"/>
  <c r="J44" i="5"/>
  <c r="BG43" i="5"/>
  <c r="Q43" i="5"/>
  <c r="BG42" i="5"/>
  <c r="Q42" i="5"/>
  <c r="J42" i="5"/>
  <c r="K42" i="5" s="1"/>
  <c r="BF41" i="5"/>
  <c r="Q41" i="5"/>
  <c r="J41" i="5"/>
  <c r="A41" i="5"/>
  <c r="A42" i="5" s="1"/>
  <c r="A44" i="5" s="1"/>
  <c r="A46" i="5" s="1"/>
  <c r="BF40" i="5"/>
  <c r="R40" i="5"/>
  <c r="Q40" i="5" s="1"/>
  <c r="J40" i="5"/>
  <c r="BG39" i="5"/>
  <c r="K39" i="5"/>
  <c r="BG38" i="5"/>
  <c r="R38" i="5"/>
  <c r="Q38" i="5" s="1"/>
  <c r="J38" i="5"/>
  <c r="K38" i="5" s="1"/>
  <c r="BF37" i="5"/>
  <c r="Q37" i="5"/>
  <c r="BE36" i="5"/>
  <c r="Q36" i="5"/>
  <c r="J36" i="5"/>
  <c r="BF35" i="5"/>
  <c r="R35" i="5"/>
  <c r="Q35" i="5" s="1"/>
  <c r="J35" i="5"/>
  <c r="BE34" i="5"/>
  <c r="Q34" i="5"/>
  <c r="J34" i="5"/>
  <c r="BE33" i="5"/>
  <c r="Q33" i="5"/>
  <c r="J33" i="5"/>
  <c r="K33" i="5" s="1"/>
  <c r="A33" i="5"/>
  <c r="A34" i="5" s="1"/>
  <c r="A35" i="5" s="1"/>
  <c r="A36" i="5" s="1"/>
  <c r="A37" i="5" s="1"/>
  <c r="A38" i="5" s="1"/>
  <c r="A40" i="5" s="1"/>
  <c r="BG32" i="5"/>
  <c r="R32" i="5"/>
  <c r="Q32" i="5" s="1"/>
  <c r="J32" i="5"/>
  <c r="BE31" i="5"/>
  <c r="Q31" i="5"/>
  <c r="J31" i="5"/>
  <c r="K31" i="5" s="1"/>
  <c r="BE30" i="5"/>
  <c r="Q30" i="5"/>
  <c r="J30" i="5"/>
  <c r="K30" i="5" s="1"/>
  <c r="BE29" i="5"/>
  <c r="R29" i="5"/>
  <c r="Q29" i="5" s="1"/>
  <c r="J29" i="5"/>
  <c r="R28" i="5"/>
  <c r="I28" i="5"/>
  <c r="I47" i="5" s="1"/>
  <c r="H6" i="4" s="1"/>
  <c r="BG27" i="5"/>
  <c r="R27" i="5"/>
  <c r="Q27" i="5" s="1"/>
  <c r="J27" i="5"/>
  <c r="K27" i="5" s="1"/>
  <c r="BE26" i="5"/>
  <c r="R26" i="5"/>
  <c r="Q26" i="5" s="1"/>
  <c r="J26" i="5"/>
  <c r="K26" i="5" s="1"/>
  <c r="A26" i="5"/>
  <c r="A27" i="5" s="1"/>
  <c r="A28" i="5" s="1"/>
  <c r="BF25" i="5"/>
  <c r="Q25" i="5"/>
  <c r="K25" i="5"/>
  <c r="A25" i="5"/>
  <c r="BE24" i="5"/>
  <c r="R24" i="5"/>
  <c r="J24" i="5"/>
  <c r="K24" i="5" s="1"/>
  <c r="BF23" i="5"/>
  <c r="Q23" i="5"/>
  <c r="J23" i="5"/>
  <c r="K23" i="5" s="1"/>
  <c r="BF22" i="5"/>
  <c r="R22" i="5"/>
  <c r="Q22" i="5" s="1"/>
  <c r="K22" i="5"/>
  <c r="BE21" i="5"/>
  <c r="R21" i="5"/>
  <c r="Q21" i="5" s="1"/>
  <c r="J21" i="5"/>
  <c r="K21" i="5" s="1"/>
  <c r="BE20" i="5"/>
  <c r="R20" i="5"/>
  <c r="Q20" i="5" s="1"/>
  <c r="J20" i="5"/>
  <c r="BE19" i="5"/>
  <c r="R19" i="5"/>
  <c r="Q19" i="5" s="1"/>
  <c r="J19" i="5"/>
  <c r="A19" i="5"/>
  <c r="A20" i="5" s="1"/>
  <c r="BE18" i="5"/>
  <c r="R18" i="5"/>
  <c r="J18" i="5"/>
  <c r="K18" i="5" s="1"/>
  <c r="BE17" i="5"/>
  <c r="R17" i="5"/>
  <c r="Q17" i="5" s="1"/>
  <c r="J17" i="5"/>
  <c r="A17" i="5"/>
  <c r="BF16" i="5"/>
  <c r="Q16" i="5"/>
  <c r="J16" i="5"/>
  <c r="I12" i="5"/>
  <c r="R11" i="5"/>
  <c r="Q11" i="5" s="1"/>
  <c r="K11" i="5"/>
  <c r="R10" i="5"/>
  <c r="Q10" i="5" s="1"/>
  <c r="J10" i="5"/>
  <c r="K10" i="5" s="1"/>
  <c r="R9" i="5"/>
  <c r="Q9" i="5" s="1"/>
  <c r="Q8" i="5"/>
  <c r="Q7" i="5"/>
  <c r="K7" i="5"/>
  <c r="R6" i="5"/>
  <c r="Q6" i="5" s="1"/>
  <c r="J6" i="5"/>
  <c r="Q5" i="5"/>
  <c r="J5" i="5"/>
  <c r="R4" i="5"/>
  <c r="Q4" i="5" s="1"/>
  <c r="J4" i="5"/>
  <c r="Q3" i="5"/>
  <c r="J3" i="5"/>
  <c r="R2" i="5"/>
  <c r="Q2" i="5" s="1"/>
  <c r="J2" i="5"/>
  <c r="J211" i="4"/>
  <c r="J183" i="4"/>
  <c r="J175" i="4"/>
  <c r="J155" i="4"/>
  <c r="J151" i="4"/>
  <c r="J147" i="4"/>
  <c r="J143" i="4"/>
  <c r="J139" i="4"/>
  <c r="J119" i="4"/>
  <c r="J115" i="4"/>
  <c r="J107" i="4"/>
  <c r="J103" i="4"/>
  <c r="J99" i="4"/>
  <c r="J95" i="4"/>
  <c r="J91" i="4"/>
  <c r="J87" i="4"/>
  <c r="J83" i="4"/>
  <c r="J75" i="4"/>
  <c r="J71" i="4"/>
  <c r="J63" i="4"/>
  <c r="J55" i="4"/>
  <c r="J47" i="4"/>
  <c r="J39" i="4"/>
  <c r="J31" i="4"/>
  <c r="U220" i="4"/>
  <c r="U98" i="4" s="1"/>
  <c r="T220" i="4"/>
  <c r="T98" i="4" s="1"/>
  <c r="S220" i="4"/>
  <c r="S98" i="4" s="1"/>
  <c r="R220" i="4"/>
  <c r="R98" i="4" s="1"/>
  <c r="Q220" i="4"/>
  <c r="Q98" i="4" s="1"/>
  <c r="V98" i="4" s="1"/>
  <c r="P218" i="4"/>
  <c r="M218" i="4"/>
  <c r="J218" i="4"/>
  <c r="J210" i="4"/>
  <c r="P202" i="4"/>
  <c r="M202" i="4"/>
  <c r="J202" i="4"/>
  <c r="P201" i="4"/>
  <c r="M201" i="4"/>
  <c r="J201" i="4"/>
  <c r="P200" i="4"/>
  <c r="M200" i="4"/>
  <c r="J200" i="4"/>
  <c r="P199" i="4"/>
  <c r="M199" i="4"/>
  <c r="J199" i="4"/>
  <c r="P198" i="4"/>
  <c r="M198" i="4"/>
  <c r="J198" i="4"/>
  <c r="P197" i="4"/>
  <c r="M197" i="4"/>
  <c r="J197" i="4"/>
  <c r="P196" i="4"/>
  <c r="M196" i="4"/>
  <c r="J196" i="4"/>
  <c r="P190" i="4"/>
  <c r="M190" i="4"/>
  <c r="J190" i="4"/>
  <c r="P189" i="4"/>
  <c r="M189" i="4"/>
  <c r="J189" i="4"/>
  <c r="P188" i="4"/>
  <c r="M188" i="4"/>
  <c r="J188" i="4"/>
  <c r="P187" i="4"/>
  <c r="M187" i="4"/>
  <c r="J187" i="4"/>
  <c r="P186" i="4"/>
  <c r="M186" i="4"/>
  <c r="J186" i="4"/>
  <c r="I185" i="4"/>
  <c r="P184" i="4"/>
  <c r="M184" i="4"/>
  <c r="J184" i="4"/>
  <c r="P183" i="4"/>
  <c r="M183" i="4"/>
  <c r="P182" i="4"/>
  <c r="M182" i="4"/>
  <c r="J182" i="4"/>
  <c r="P181" i="4"/>
  <c r="M181" i="4"/>
  <c r="J181" i="4"/>
  <c r="J180" i="4"/>
  <c r="P178" i="4"/>
  <c r="M178" i="4"/>
  <c r="J178" i="4"/>
  <c r="P177" i="4"/>
  <c r="M177" i="4"/>
  <c r="J177" i="4"/>
  <c r="J176" i="4"/>
  <c r="P175" i="4"/>
  <c r="M175" i="4"/>
  <c r="P174" i="4"/>
  <c r="M174" i="4"/>
  <c r="J174" i="4"/>
  <c r="P173" i="4"/>
  <c r="M173" i="4"/>
  <c r="J173" i="4"/>
  <c r="I172" i="4"/>
  <c r="J172" i="4" s="1"/>
  <c r="P171" i="4"/>
  <c r="M171" i="4"/>
  <c r="G171" i="4"/>
  <c r="P170" i="4"/>
  <c r="M170" i="4"/>
  <c r="J170" i="4"/>
  <c r="P164" i="4"/>
  <c r="M164" i="4"/>
  <c r="J164" i="4"/>
  <c r="P163" i="4"/>
  <c r="M163" i="4"/>
  <c r="H163" i="4"/>
  <c r="I163" i="4" s="1"/>
  <c r="P162" i="4"/>
  <c r="M162" i="4"/>
  <c r="J162" i="4"/>
  <c r="J161" i="4"/>
  <c r="I160" i="4"/>
  <c r="J160" i="4" s="1"/>
  <c r="I159" i="4"/>
  <c r="J159" i="4" s="1"/>
  <c r="P158" i="4"/>
  <c r="M158" i="4"/>
  <c r="J158" i="4"/>
  <c r="P157" i="4"/>
  <c r="M157" i="4"/>
  <c r="J157" i="4"/>
  <c r="P156" i="4"/>
  <c r="M156" i="4"/>
  <c r="J156" i="4"/>
  <c r="P155" i="4"/>
  <c r="M155" i="4"/>
  <c r="P151" i="4"/>
  <c r="M151" i="4"/>
  <c r="P150" i="4"/>
  <c r="M150" i="4"/>
  <c r="J150" i="4"/>
  <c r="Y149" i="4"/>
  <c r="X149" i="4"/>
  <c r="J149" i="4"/>
  <c r="P148" i="4"/>
  <c r="M148" i="4"/>
  <c r="J148" i="4"/>
  <c r="P147" i="4"/>
  <c r="M147" i="4"/>
  <c r="P146" i="4"/>
  <c r="M146" i="4"/>
  <c r="J146" i="4"/>
  <c r="P144" i="4"/>
  <c r="M144" i="4"/>
  <c r="J144" i="4"/>
  <c r="P143" i="4"/>
  <c r="M143" i="4"/>
  <c r="P142" i="4"/>
  <c r="M142" i="4"/>
  <c r="J142" i="4"/>
  <c r="P141" i="4"/>
  <c r="M141" i="4"/>
  <c r="J141" i="4"/>
  <c r="P140" i="4"/>
  <c r="M140" i="4"/>
  <c r="J140" i="4"/>
  <c r="P139" i="4"/>
  <c r="M139" i="4"/>
  <c r="P138" i="4"/>
  <c r="M138" i="4"/>
  <c r="J138" i="4"/>
  <c r="J137" i="4"/>
  <c r="P136" i="4"/>
  <c r="M136" i="4"/>
  <c r="J136" i="4"/>
  <c r="P135" i="4"/>
  <c r="M135" i="4"/>
  <c r="I135" i="4"/>
  <c r="P134" i="4"/>
  <c r="M134" i="4"/>
  <c r="J134" i="4"/>
  <c r="P133" i="4"/>
  <c r="M133" i="4"/>
  <c r="J133" i="4"/>
  <c r="I131" i="4"/>
  <c r="J131" i="4" s="1"/>
  <c r="J130" i="4"/>
  <c r="J129" i="4"/>
  <c r="J128" i="4"/>
  <c r="I127" i="4"/>
  <c r="J127" i="4" s="1"/>
  <c r="I126" i="4"/>
  <c r="J126" i="4" s="1"/>
  <c r="P125" i="4"/>
  <c r="M125" i="4"/>
  <c r="J125" i="4"/>
  <c r="P124" i="4"/>
  <c r="M124" i="4"/>
  <c r="G124" i="4"/>
  <c r="J124" i="4"/>
  <c r="P121" i="4"/>
  <c r="M121" i="4"/>
  <c r="J121" i="4"/>
  <c r="P120" i="4"/>
  <c r="M120" i="4"/>
  <c r="J120" i="4"/>
  <c r="P119" i="4"/>
  <c r="M119" i="4"/>
  <c r="P118" i="4"/>
  <c r="M118" i="4"/>
  <c r="J118" i="4"/>
  <c r="X117" i="4"/>
  <c r="W117" i="4"/>
  <c r="I117" i="4"/>
  <c r="H117" i="4"/>
  <c r="J116" i="4"/>
  <c r="P115" i="4"/>
  <c r="M115" i="4"/>
  <c r="P114" i="4"/>
  <c r="M114" i="4"/>
  <c r="G114" i="4"/>
  <c r="D51" i="7" s="1"/>
  <c r="J114" i="4"/>
  <c r="P113" i="4"/>
  <c r="M113" i="4"/>
  <c r="J113" i="4"/>
  <c r="P112" i="4"/>
  <c r="M112" i="4"/>
  <c r="J112" i="4"/>
  <c r="P111" i="4"/>
  <c r="M111" i="4"/>
  <c r="J111" i="4"/>
  <c r="P108" i="4"/>
  <c r="M108" i="4"/>
  <c r="J108" i="4"/>
  <c r="P107" i="4"/>
  <c r="M107" i="4"/>
  <c r="P106" i="4"/>
  <c r="M106" i="4"/>
  <c r="J106" i="4"/>
  <c r="J105" i="4"/>
  <c r="P104" i="4"/>
  <c r="M104" i="4"/>
  <c r="J104" i="4"/>
  <c r="P103" i="4"/>
  <c r="M103" i="4"/>
  <c r="I102" i="4"/>
  <c r="J102" i="4" s="1"/>
  <c r="P101" i="4"/>
  <c r="M101" i="4"/>
  <c r="J101" i="4"/>
  <c r="J100" i="4"/>
  <c r="P99" i="4"/>
  <c r="M99" i="4"/>
  <c r="J98" i="4"/>
  <c r="P97" i="4"/>
  <c r="M97" i="4"/>
  <c r="J97" i="4"/>
  <c r="P96" i="4"/>
  <c r="M96" i="4"/>
  <c r="J96" i="4"/>
  <c r="P95" i="4"/>
  <c r="M95" i="4"/>
  <c r="P94" i="4"/>
  <c r="M94" i="4"/>
  <c r="J94" i="4"/>
  <c r="P93" i="4"/>
  <c r="M93" i="4"/>
  <c r="J93" i="4"/>
  <c r="J92" i="4"/>
  <c r="P91" i="4"/>
  <c r="M91" i="4"/>
  <c r="P90" i="4"/>
  <c r="M90" i="4"/>
  <c r="J90" i="4"/>
  <c r="I89" i="4"/>
  <c r="J89" i="4" s="1"/>
  <c r="J88" i="4"/>
  <c r="P87" i="4"/>
  <c r="M87" i="4"/>
  <c r="P85" i="4"/>
  <c r="M85" i="4"/>
  <c r="J85" i="4"/>
  <c r="P84" i="4"/>
  <c r="M84" i="4"/>
  <c r="J84" i="4"/>
  <c r="P83" i="4"/>
  <c r="M83" i="4"/>
  <c r="P75" i="4"/>
  <c r="M75" i="4"/>
  <c r="P73" i="4"/>
  <c r="M73" i="4"/>
  <c r="J73" i="4"/>
  <c r="P72" i="4"/>
  <c r="M72" i="4"/>
  <c r="J72" i="4"/>
  <c r="P71" i="4"/>
  <c r="M71" i="4"/>
  <c r="P70" i="4"/>
  <c r="M70" i="4"/>
  <c r="J70" i="4"/>
  <c r="P69" i="4"/>
  <c r="M69" i="4"/>
  <c r="I69" i="4"/>
  <c r="J69" i="4"/>
  <c r="P68" i="4"/>
  <c r="M68" i="4"/>
  <c r="I68" i="4"/>
  <c r="P67" i="4"/>
  <c r="M67" i="4"/>
  <c r="I67" i="4"/>
  <c r="J67" i="4" s="1"/>
  <c r="J65" i="4"/>
  <c r="J64" i="4"/>
  <c r="P63" i="4"/>
  <c r="M63" i="4"/>
  <c r="J62" i="4"/>
  <c r="P61" i="4"/>
  <c r="M61" i="4"/>
  <c r="J61" i="4"/>
  <c r="J57" i="4"/>
  <c r="I56" i="4"/>
  <c r="J56" i="4" s="1"/>
  <c r="P55" i="4"/>
  <c r="M55" i="4"/>
  <c r="I54" i="4"/>
  <c r="I53" i="4"/>
  <c r="J53" i="4" s="1"/>
  <c r="I52" i="4"/>
  <c r="J52" i="4" s="1"/>
  <c r="I51" i="4"/>
  <c r="J51" i="4" s="1"/>
  <c r="P50" i="4"/>
  <c r="M50" i="4"/>
  <c r="J50" i="4"/>
  <c r="P48" i="4"/>
  <c r="M48" i="4"/>
  <c r="J48" i="4"/>
  <c r="P47" i="4"/>
  <c r="M47" i="4"/>
  <c r="P46" i="4"/>
  <c r="M46" i="4"/>
  <c r="J46" i="4"/>
  <c r="J45" i="4"/>
  <c r="P44" i="4"/>
  <c r="M44" i="4"/>
  <c r="J44" i="4"/>
  <c r="P43" i="4"/>
  <c r="M43" i="4"/>
  <c r="J43" i="4"/>
  <c r="P42" i="4"/>
  <c r="M42" i="4"/>
  <c r="J42" i="4"/>
  <c r="J41" i="4"/>
  <c r="P40" i="4"/>
  <c r="M40" i="4"/>
  <c r="I40" i="4"/>
  <c r="J40" i="4" s="1"/>
  <c r="P39" i="4"/>
  <c r="M39" i="4"/>
  <c r="P35" i="4"/>
  <c r="M35" i="4"/>
  <c r="J35" i="4"/>
  <c r="P34" i="4"/>
  <c r="M34" i="4"/>
  <c r="J34" i="4"/>
  <c r="P33" i="4"/>
  <c r="M33" i="4"/>
  <c r="J33" i="4"/>
  <c r="P32" i="4"/>
  <c r="M32" i="4"/>
  <c r="J32" i="4"/>
  <c r="P30" i="4"/>
  <c r="M30" i="4"/>
  <c r="J30" i="4"/>
  <c r="J29" i="4"/>
  <c r="P28" i="4"/>
  <c r="M28" i="4"/>
  <c r="J28" i="4"/>
  <c r="P27" i="4"/>
  <c r="M27" i="4"/>
  <c r="J27" i="4"/>
  <c r="H13" i="4"/>
  <c r="F235" i="3"/>
  <c r="E235" i="3"/>
  <c r="D235" i="3"/>
  <c r="F234" i="3"/>
  <c r="E234" i="3"/>
  <c r="D234" i="3"/>
  <c r="J234" i="3" s="1"/>
  <c r="F233" i="3"/>
  <c r="E233" i="3"/>
  <c r="D233" i="3"/>
  <c r="J233" i="3" s="1"/>
  <c r="F232" i="3"/>
  <c r="E232" i="3"/>
  <c r="D232" i="3"/>
  <c r="J232" i="3" s="1"/>
  <c r="F231" i="3"/>
  <c r="E231" i="3"/>
  <c r="D231" i="3"/>
  <c r="J231" i="3" s="1"/>
  <c r="F230" i="3"/>
  <c r="E230" i="3"/>
  <c r="D230" i="3"/>
  <c r="J230" i="3" s="1"/>
  <c r="F229" i="3"/>
  <c r="E229" i="3"/>
  <c r="D229" i="3"/>
  <c r="J229" i="3" s="1"/>
  <c r="F228" i="3"/>
  <c r="E228" i="3"/>
  <c r="D228" i="3"/>
  <c r="F227" i="3"/>
  <c r="E227" i="3"/>
  <c r="D227" i="3"/>
  <c r="F226" i="3"/>
  <c r="E226" i="3"/>
  <c r="D226" i="3"/>
  <c r="J226" i="3" s="1"/>
  <c r="F225" i="3"/>
  <c r="E225" i="3"/>
  <c r="D225" i="3"/>
  <c r="J225" i="3" s="1"/>
  <c r="F224" i="3"/>
  <c r="E224" i="3"/>
  <c r="D224" i="3"/>
  <c r="J224" i="3" s="1"/>
  <c r="F223" i="3"/>
  <c r="E223" i="3"/>
  <c r="D223" i="3"/>
  <c r="J223" i="3" s="1"/>
  <c r="F221" i="3"/>
  <c r="E221" i="3"/>
  <c r="D221" i="3"/>
  <c r="J221" i="3" s="1"/>
  <c r="F220" i="3"/>
  <c r="E220" i="3"/>
  <c r="D220" i="3"/>
  <c r="J220" i="3" s="1"/>
  <c r="F219" i="3"/>
  <c r="E219" i="3"/>
  <c r="D219" i="3"/>
  <c r="J219" i="3" s="1"/>
  <c r="F218" i="3"/>
  <c r="E218" i="3"/>
  <c r="D218" i="3"/>
  <c r="J218" i="3" s="1"/>
  <c r="F217" i="3"/>
  <c r="E217" i="3"/>
  <c r="D217" i="3"/>
  <c r="F215" i="3"/>
  <c r="E215" i="3"/>
  <c r="D215" i="3"/>
  <c r="F214" i="3"/>
  <c r="E214" i="3"/>
  <c r="D214" i="3"/>
  <c r="F213" i="3"/>
  <c r="E213" i="3"/>
  <c r="D213" i="3"/>
  <c r="F212" i="3"/>
  <c r="E212" i="3"/>
  <c r="D212" i="3"/>
  <c r="J212" i="3" s="1"/>
  <c r="F211" i="3"/>
  <c r="E211" i="3"/>
  <c r="D211" i="3"/>
  <c r="F210" i="3"/>
  <c r="E210" i="3"/>
  <c r="D210" i="3"/>
  <c r="J210" i="3" s="1"/>
  <c r="F209" i="3"/>
  <c r="E209" i="3"/>
  <c r="D209" i="3"/>
  <c r="J209" i="3" s="1"/>
  <c r="F208" i="3"/>
  <c r="E208" i="3"/>
  <c r="D208" i="3"/>
  <c r="J208" i="3" s="1"/>
  <c r="F207" i="3"/>
  <c r="E207" i="3"/>
  <c r="D207" i="3"/>
  <c r="J207" i="3" s="1"/>
  <c r="F206" i="3"/>
  <c r="E206" i="3"/>
  <c r="D206" i="3"/>
  <c r="J206" i="3" s="1"/>
  <c r="F205" i="3"/>
  <c r="E205" i="3"/>
  <c r="D205" i="3"/>
  <c r="J205" i="3" s="1"/>
  <c r="F204" i="3"/>
  <c r="E204" i="3"/>
  <c r="D204" i="3"/>
  <c r="J204" i="3" s="1"/>
  <c r="F203" i="3"/>
  <c r="E203" i="3"/>
  <c r="D203" i="3"/>
  <c r="J203" i="3" s="1"/>
  <c r="F202" i="3"/>
  <c r="E202" i="3"/>
  <c r="D202" i="3"/>
  <c r="F201" i="3"/>
  <c r="E201" i="3"/>
  <c r="D201" i="3"/>
  <c r="F200" i="3"/>
  <c r="E200" i="3"/>
  <c r="D200" i="3"/>
  <c r="J200" i="3" s="1"/>
  <c r="F199" i="3"/>
  <c r="E199" i="3"/>
  <c r="D199" i="3"/>
  <c r="F198" i="3"/>
  <c r="E198" i="3"/>
  <c r="D198" i="3"/>
  <c r="F197" i="3"/>
  <c r="E197" i="3"/>
  <c r="D197" i="3"/>
  <c r="J197" i="3" s="1"/>
  <c r="F196" i="3"/>
  <c r="E196" i="3"/>
  <c r="D196" i="3"/>
  <c r="J196" i="3" s="1"/>
  <c r="F194" i="3"/>
  <c r="E194" i="3"/>
  <c r="D194" i="3"/>
  <c r="J194" i="3" s="1"/>
  <c r="F193" i="3"/>
  <c r="E193" i="3"/>
  <c r="D193" i="3"/>
  <c r="J193" i="3" s="1"/>
  <c r="F192" i="3"/>
  <c r="E192" i="3"/>
  <c r="D192" i="3"/>
  <c r="F191" i="3"/>
  <c r="E191" i="3"/>
  <c r="D191" i="3"/>
  <c r="F190" i="3"/>
  <c r="E190" i="3"/>
  <c r="D190" i="3"/>
  <c r="F189" i="3"/>
  <c r="E189" i="3"/>
  <c r="D189" i="3"/>
  <c r="F187" i="3"/>
  <c r="E187" i="3"/>
  <c r="D187" i="3"/>
  <c r="F186" i="3"/>
  <c r="E186" i="3"/>
  <c r="D186" i="3"/>
  <c r="F185" i="3"/>
  <c r="E185" i="3"/>
  <c r="D185" i="3"/>
  <c r="F184" i="3"/>
  <c r="E184" i="3"/>
  <c r="D184" i="3"/>
  <c r="F183" i="3"/>
  <c r="E183" i="3"/>
  <c r="D183" i="3"/>
  <c r="F182" i="3"/>
  <c r="E182" i="3"/>
  <c r="D182" i="3"/>
  <c r="J182" i="3" s="1"/>
  <c r="F181" i="3"/>
  <c r="E181" i="3"/>
  <c r="D181" i="3"/>
  <c r="J181" i="3" s="1"/>
  <c r="F180" i="3"/>
  <c r="E180" i="3"/>
  <c r="D180" i="3"/>
  <c r="F179" i="3"/>
  <c r="E179" i="3"/>
  <c r="D179" i="3"/>
  <c r="J179" i="3" s="1"/>
  <c r="F178" i="3"/>
  <c r="E178" i="3"/>
  <c r="D178" i="3"/>
  <c r="J178" i="3" s="1"/>
  <c r="F177" i="3"/>
  <c r="E177" i="3"/>
  <c r="D177" i="3"/>
  <c r="F176" i="3"/>
  <c r="E176" i="3"/>
  <c r="D176" i="3"/>
  <c r="F175" i="3"/>
  <c r="E175" i="3"/>
  <c r="D175" i="3"/>
  <c r="F174" i="3"/>
  <c r="E174" i="3"/>
  <c r="D174" i="3"/>
  <c r="F173" i="3"/>
  <c r="E173" i="3"/>
  <c r="D173" i="3"/>
  <c r="F172" i="3"/>
  <c r="E172" i="3"/>
  <c r="D172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J166" i="3" s="1"/>
  <c r="F165" i="3"/>
  <c r="E165" i="3"/>
  <c r="D165" i="3"/>
  <c r="J165" i="3" s="1"/>
  <c r="F164" i="3"/>
  <c r="E164" i="3"/>
  <c r="D164" i="3"/>
  <c r="J164" i="3" s="1"/>
  <c r="F163" i="3"/>
  <c r="E163" i="3"/>
  <c r="D163" i="3"/>
  <c r="F162" i="3"/>
  <c r="E162" i="3"/>
  <c r="D162" i="3"/>
  <c r="J162" i="3" s="1"/>
  <c r="F161" i="3"/>
  <c r="E161" i="3"/>
  <c r="D161" i="3"/>
  <c r="F160" i="3"/>
  <c r="E160" i="3"/>
  <c r="D160" i="3"/>
  <c r="J160" i="3" s="1"/>
  <c r="F159" i="3"/>
  <c r="E159" i="3"/>
  <c r="D159" i="3"/>
  <c r="J159" i="3" s="1"/>
  <c r="F158" i="3"/>
  <c r="E158" i="3"/>
  <c r="D158" i="3"/>
  <c r="J158" i="3" s="1"/>
  <c r="F157" i="3"/>
  <c r="E157" i="3"/>
  <c r="D157" i="3"/>
  <c r="J157" i="3" s="1"/>
  <c r="F156" i="3"/>
  <c r="E156" i="3"/>
  <c r="D156" i="3"/>
  <c r="F155" i="3"/>
  <c r="E155" i="3"/>
  <c r="D155" i="3"/>
  <c r="F154" i="3"/>
  <c r="E154" i="3"/>
  <c r="D154" i="3"/>
  <c r="J154" i="3" s="1"/>
  <c r="F153" i="3"/>
  <c r="E153" i="3"/>
  <c r="D153" i="3"/>
  <c r="F152" i="3"/>
  <c r="E152" i="3"/>
  <c r="D152" i="3"/>
  <c r="J152" i="3" s="1"/>
  <c r="F151" i="3"/>
  <c r="E151" i="3"/>
  <c r="D151" i="3"/>
  <c r="J151" i="3" s="1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J144" i="3" s="1"/>
  <c r="F143" i="3"/>
  <c r="E143" i="3"/>
  <c r="D143" i="3"/>
  <c r="F142" i="3"/>
  <c r="E142" i="3"/>
  <c r="D142" i="3"/>
  <c r="F141" i="3"/>
  <c r="E141" i="3"/>
  <c r="D141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J136" i="3" s="1"/>
  <c r="F135" i="3"/>
  <c r="E135" i="3"/>
  <c r="D135" i="3"/>
  <c r="J135" i="3" s="1"/>
  <c r="F134" i="3"/>
  <c r="E134" i="3"/>
  <c r="D134" i="3"/>
  <c r="J134" i="3" s="1"/>
  <c r="F133" i="3"/>
  <c r="E133" i="3"/>
  <c r="D133" i="3"/>
  <c r="J133" i="3" s="1"/>
  <c r="F132" i="3"/>
  <c r="E132" i="3"/>
  <c r="D132" i="3"/>
  <c r="F131" i="3"/>
  <c r="E131" i="3"/>
  <c r="D131" i="3"/>
  <c r="J131" i="3" s="1"/>
  <c r="F130" i="3"/>
  <c r="E130" i="3"/>
  <c r="D130" i="3"/>
  <c r="F129" i="3"/>
  <c r="E129" i="3"/>
  <c r="D129" i="3"/>
  <c r="J129" i="3" s="1"/>
  <c r="F128" i="3"/>
  <c r="E128" i="3"/>
  <c r="D128" i="3"/>
  <c r="F126" i="3"/>
  <c r="E126" i="3"/>
  <c r="D126" i="3"/>
  <c r="J126" i="3" s="1"/>
  <c r="F125" i="3"/>
  <c r="E125" i="3"/>
  <c r="D125" i="3"/>
  <c r="J125" i="3" s="1"/>
  <c r="F124" i="3"/>
  <c r="E124" i="3"/>
  <c r="D124" i="3"/>
  <c r="F123" i="3"/>
  <c r="E123" i="3"/>
  <c r="D123" i="3"/>
  <c r="J123" i="3" s="1"/>
  <c r="F122" i="3"/>
  <c r="E122" i="3"/>
  <c r="D122" i="3"/>
  <c r="J122" i="3" s="1"/>
  <c r="F121" i="3"/>
  <c r="E121" i="3"/>
  <c r="D121" i="3"/>
  <c r="J121" i="3" s="1"/>
  <c r="F120" i="3"/>
  <c r="E120" i="3"/>
  <c r="D120" i="3"/>
  <c r="J120" i="3" s="1"/>
  <c r="F119" i="3"/>
  <c r="E119" i="3"/>
  <c r="D119" i="3"/>
  <c r="J119" i="3" s="1"/>
  <c r="F118" i="3"/>
  <c r="E118" i="3"/>
  <c r="D118" i="3"/>
  <c r="J118" i="3" s="1"/>
  <c r="F116" i="3"/>
  <c r="E116" i="3"/>
  <c r="D116" i="3"/>
  <c r="F115" i="3"/>
  <c r="E115" i="3"/>
  <c r="D115" i="3"/>
  <c r="J115" i="3" s="1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J109" i="3" s="1"/>
  <c r="F108" i="3"/>
  <c r="E108" i="3"/>
  <c r="F107" i="3"/>
  <c r="E107" i="3"/>
  <c r="D107" i="3"/>
  <c r="J107" i="3" s="1"/>
  <c r="F106" i="3"/>
  <c r="E106" i="3"/>
  <c r="D106" i="3"/>
  <c r="J106" i="3" s="1"/>
  <c r="F105" i="3"/>
  <c r="E105" i="3"/>
  <c r="D105" i="3"/>
  <c r="J105" i="3" s="1"/>
  <c r="F104" i="3"/>
  <c r="E104" i="3"/>
  <c r="D104" i="3"/>
  <c r="J104" i="3" s="1"/>
  <c r="F103" i="3"/>
  <c r="E103" i="3"/>
  <c r="D103" i="3"/>
  <c r="J103" i="3" s="1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J97" i="3" s="1"/>
  <c r="F94" i="3"/>
  <c r="E94" i="3"/>
  <c r="D94" i="3"/>
  <c r="J94" i="3" s="1"/>
  <c r="F93" i="3"/>
  <c r="E93" i="3"/>
  <c r="D93" i="3"/>
  <c r="J93" i="3" s="1"/>
  <c r="F88" i="3"/>
  <c r="E88" i="3"/>
  <c r="D88" i="3"/>
  <c r="J88" i="3" s="1"/>
  <c r="F87" i="3"/>
  <c r="E87" i="3"/>
  <c r="D87" i="3"/>
  <c r="F86" i="3"/>
  <c r="E86" i="3"/>
  <c r="D86" i="3"/>
  <c r="J86" i="3" s="1"/>
  <c r="F85" i="3"/>
  <c r="E85" i="3"/>
  <c r="D85" i="3"/>
  <c r="F84" i="3"/>
  <c r="E84" i="3"/>
  <c r="D84" i="3"/>
  <c r="F83" i="3"/>
  <c r="E83" i="3"/>
  <c r="D83" i="3"/>
  <c r="J83" i="3" s="1"/>
  <c r="F82" i="3"/>
  <c r="E82" i="3"/>
  <c r="D82" i="3"/>
  <c r="J82" i="3" s="1"/>
  <c r="F81" i="3"/>
  <c r="E81" i="3"/>
  <c r="D81" i="3"/>
  <c r="J81" i="3" s="1"/>
  <c r="F80" i="3"/>
  <c r="E80" i="3"/>
  <c r="D80" i="3"/>
  <c r="J80" i="3" s="1"/>
  <c r="F79" i="3"/>
  <c r="E79" i="3"/>
  <c r="D79" i="3"/>
  <c r="J79" i="3" s="1"/>
  <c r="F78" i="3"/>
  <c r="E78" i="3"/>
  <c r="D78" i="3"/>
  <c r="J78" i="3" s="1"/>
  <c r="F77" i="3"/>
  <c r="E77" i="3"/>
  <c r="D77" i="3"/>
  <c r="J77" i="3" s="1"/>
  <c r="F76" i="3"/>
  <c r="E76" i="3"/>
  <c r="D76" i="3"/>
  <c r="J76" i="3" s="1"/>
  <c r="F75" i="3"/>
  <c r="E75" i="3"/>
  <c r="D75" i="3"/>
  <c r="J75" i="3" s="1"/>
  <c r="F74" i="3"/>
  <c r="E74" i="3"/>
  <c r="D74" i="3"/>
  <c r="J74" i="3" s="1"/>
  <c r="F73" i="3"/>
  <c r="E73" i="3"/>
  <c r="D73" i="3"/>
  <c r="F72" i="3"/>
  <c r="E72" i="3"/>
  <c r="D72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J66" i="3" s="1"/>
  <c r="F65" i="3"/>
  <c r="E65" i="3"/>
  <c r="D65" i="3"/>
  <c r="F64" i="3"/>
  <c r="E64" i="3"/>
  <c r="D64" i="3"/>
  <c r="J64" i="3" s="1"/>
  <c r="F63" i="3"/>
  <c r="E63" i="3"/>
  <c r="J63" i="3"/>
  <c r="F62" i="3"/>
  <c r="E62" i="3"/>
  <c r="D62" i="3"/>
  <c r="J62" i="3" s="1"/>
  <c r="F61" i="3"/>
  <c r="E61" i="3"/>
  <c r="D61" i="3"/>
  <c r="J61" i="3" s="1"/>
  <c r="F60" i="3"/>
  <c r="E60" i="3"/>
  <c r="D60" i="3"/>
  <c r="J60" i="3" s="1"/>
  <c r="F59" i="3"/>
  <c r="E59" i="3"/>
  <c r="D59" i="3"/>
  <c r="F58" i="3"/>
  <c r="E58" i="3"/>
  <c r="D58" i="3"/>
  <c r="J58" i="3" s="1"/>
  <c r="F57" i="3"/>
  <c r="E57" i="3"/>
  <c r="D57" i="3"/>
  <c r="F56" i="3"/>
  <c r="E56" i="3"/>
  <c r="D56" i="3"/>
  <c r="J56" i="3" s="1"/>
  <c r="F55" i="3"/>
  <c r="E55" i="3"/>
  <c r="D55" i="3"/>
  <c r="J55" i="3" s="1"/>
  <c r="F54" i="3"/>
  <c r="E54" i="3"/>
  <c r="D54" i="3"/>
  <c r="J54" i="3" s="1"/>
  <c r="F53" i="3"/>
  <c r="E53" i="3"/>
  <c r="D53" i="3"/>
  <c r="F51" i="3"/>
  <c r="E51" i="3"/>
  <c r="D51" i="3"/>
  <c r="J51" i="3" s="1"/>
  <c r="F50" i="3"/>
  <c r="E50" i="3"/>
  <c r="D50" i="3"/>
  <c r="F49" i="3"/>
  <c r="E49" i="3"/>
  <c r="D49" i="3"/>
  <c r="F48" i="3"/>
  <c r="E48" i="3"/>
  <c r="D48" i="3"/>
  <c r="J48" i="3" s="1"/>
  <c r="F47" i="3"/>
  <c r="E47" i="3"/>
  <c r="D47" i="3"/>
  <c r="J47" i="3" s="1"/>
  <c r="F46" i="3"/>
  <c r="E46" i="3"/>
  <c r="D46" i="3"/>
  <c r="F45" i="3"/>
  <c r="E45" i="3"/>
  <c r="D45" i="3"/>
  <c r="J45" i="3" s="1"/>
  <c r="F44" i="3"/>
  <c r="E44" i="3"/>
  <c r="D44" i="3"/>
  <c r="J44" i="3" s="1"/>
  <c r="F43" i="3"/>
  <c r="E43" i="3"/>
  <c r="D43" i="3"/>
  <c r="J43" i="3" s="1"/>
  <c r="F42" i="3"/>
  <c r="E42" i="3"/>
  <c r="D42" i="3"/>
  <c r="F39" i="3"/>
  <c r="E39" i="3"/>
  <c r="D39" i="3"/>
  <c r="J39" i="3" s="1"/>
  <c r="F38" i="3"/>
  <c r="E38" i="3"/>
  <c r="D38" i="3"/>
  <c r="J38" i="3" s="1"/>
  <c r="F37" i="3"/>
  <c r="E37" i="3"/>
  <c r="D37" i="3"/>
  <c r="J37" i="3" s="1"/>
  <c r="F36" i="3"/>
  <c r="E36" i="3"/>
  <c r="D36" i="3"/>
  <c r="J36" i="3" s="1"/>
  <c r="F35" i="3"/>
  <c r="E35" i="3"/>
  <c r="D35" i="3"/>
  <c r="F34" i="3"/>
  <c r="E34" i="3"/>
  <c r="D34" i="3"/>
  <c r="J34" i="3" s="1"/>
  <c r="F33" i="3"/>
  <c r="E33" i="3"/>
  <c r="D33" i="3"/>
  <c r="J33" i="3" s="1"/>
  <c r="F32" i="3"/>
  <c r="E32" i="3"/>
  <c r="D32" i="3"/>
  <c r="F31" i="3"/>
  <c r="E31" i="3"/>
  <c r="D31" i="3"/>
  <c r="F30" i="3"/>
  <c r="E30" i="3"/>
  <c r="D30" i="3"/>
  <c r="J30" i="3" s="1"/>
  <c r="F29" i="3"/>
  <c r="E29" i="3"/>
  <c r="D29" i="3"/>
  <c r="J29" i="3" s="1"/>
  <c r="F28" i="3"/>
  <c r="E28" i="3"/>
  <c r="D28" i="3"/>
  <c r="J28" i="3" s="1"/>
  <c r="F27" i="3"/>
  <c r="E27" i="3"/>
  <c r="D27" i="3"/>
  <c r="U236" i="3"/>
  <c r="T236" i="3"/>
  <c r="S236" i="3"/>
  <c r="R236" i="3"/>
  <c r="Q236" i="3"/>
  <c r="C235" i="3"/>
  <c r="C234" i="3"/>
  <c r="P233" i="3"/>
  <c r="M233" i="3"/>
  <c r="C233" i="3"/>
  <c r="C232" i="3"/>
  <c r="C231" i="3"/>
  <c r="C230" i="3"/>
  <c r="P229" i="3"/>
  <c r="M229" i="3"/>
  <c r="C229" i="3"/>
  <c r="C228" i="3"/>
  <c r="C227" i="3"/>
  <c r="P226" i="3"/>
  <c r="M226" i="3"/>
  <c r="C226" i="3"/>
  <c r="P225" i="3"/>
  <c r="M225" i="3"/>
  <c r="C225" i="3"/>
  <c r="C224" i="3"/>
  <c r="P223" i="3"/>
  <c r="M223" i="3"/>
  <c r="C223" i="3"/>
  <c r="C221" i="3"/>
  <c r="P220" i="3"/>
  <c r="M220" i="3"/>
  <c r="C220" i="3"/>
  <c r="P219" i="3"/>
  <c r="M219" i="3"/>
  <c r="C219" i="3"/>
  <c r="P218" i="3"/>
  <c r="M218" i="3"/>
  <c r="C218" i="3"/>
  <c r="C217" i="3"/>
  <c r="C215" i="3"/>
  <c r="C214" i="3"/>
  <c r="C213" i="3"/>
  <c r="P212" i="3"/>
  <c r="M212" i="3"/>
  <c r="C212" i="3"/>
  <c r="C211" i="3"/>
  <c r="P210" i="3"/>
  <c r="M210" i="3"/>
  <c r="C210" i="3"/>
  <c r="P209" i="3"/>
  <c r="M209" i="3"/>
  <c r="C209" i="3"/>
  <c r="P208" i="3"/>
  <c r="M208" i="3"/>
  <c r="C208" i="3"/>
  <c r="P207" i="3"/>
  <c r="M207" i="3"/>
  <c r="C207" i="3"/>
  <c r="C206" i="3"/>
  <c r="P205" i="3"/>
  <c r="M205" i="3"/>
  <c r="C205" i="3"/>
  <c r="P204" i="3"/>
  <c r="M204" i="3"/>
  <c r="C204" i="3"/>
  <c r="P203" i="3"/>
  <c r="M203" i="3"/>
  <c r="C203" i="3"/>
  <c r="C202" i="3"/>
  <c r="C201" i="3"/>
  <c r="P200" i="3"/>
  <c r="M200" i="3"/>
  <c r="C200" i="3"/>
  <c r="C199" i="3"/>
  <c r="C198" i="3"/>
  <c r="P197" i="3"/>
  <c r="M197" i="3"/>
  <c r="G197" i="3"/>
  <c r="C197" i="3"/>
  <c r="P196" i="3"/>
  <c r="M196" i="3"/>
  <c r="C196" i="3"/>
  <c r="C194" i="3"/>
  <c r="P193" i="3"/>
  <c r="M193" i="3"/>
  <c r="C193" i="3"/>
  <c r="C192" i="3"/>
  <c r="C191" i="3"/>
  <c r="C190" i="3"/>
  <c r="C189" i="3"/>
  <c r="C187" i="3"/>
  <c r="C186" i="3"/>
  <c r="C185" i="3"/>
  <c r="C184" i="3"/>
  <c r="C183" i="3"/>
  <c r="C182" i="3"/>
  <c r="C181" i="3"/>
  <c r="P180" i="3"/>
  <c r="M180" i="3"/>
  <c r="J180" i="3"/>
  <c r="C180" i="3"/>
  <c r="P179" i="3"/>
  <c r="M179" i="3"/>
  <c r="C179" i="3"/>
  <c r="C178" i="3"/>
  <c r="C177" i="3"/>
  <c r="C176" i="3"/>
  <c r="C175" i="3"/>
  <c r="C174" i="3"/>
  <c r="C173" i="3"/>
  <c r="C172" i="3"/>
  <c r="C170" i="3"/>
  <c r="C169" i="3"/>
  <c r="C168" i="3"/>
  <c r="C167" i="3"/>
  <c r="P166" i="3"/>
  <c r="M166" i="3"/>
  <c r="C166" i="3"/>
  <c r="P165" i="3"/>
  <c r="M165" i="3"/>
  <c r="C165" i="3"/>
  <c r="P164" i="3"/>
  <c r="M164" i="3"/>
  <c r="C164" i="3"/>
  <c r="C163" i="3"/>
  <c r="P162" i="3"/>
  <c r="M162" i="3"/>
  <c r="C162" i="3"/>
  <c r="C161" i="3"/>
  <c r="P160" i="3"/>
  <c r="M160" i="3"/>
  <c r="C160" i="3"/>
  <c r="C159" i="3"/>
  <c r="C158" i="3"/>
  <c r="P157" i="3"/>
  <c r="M157" i="3"/>
  <c r="C157" i="3"/>
  <c r="C156" i="3"/>
  <c r="C155" i="3"/>
  <c r="C154" i="3"/>
  <c r="C153" i="3"/>
  <c r="P152" i="3"/>
  <c r="M152" i="3"/>
  <c r="C152" i="3"/>
  <c r="P151" i="3"/>
  <c r="M151" i="3"/>
  <c r="G151" i="3"/>
  <c r="C151" i="3"/>
  <c r="C150" i="3"/>
  <c r="C149" i="3"/>
  <c r="C148" i="3"/>
  <c r="C147" i="3"/>
  <c r="C146" i="3"/>
  <c r="C145" i="3"/>
  <c r="C144" i="3"/>
  <c r="C143" i="3"/>
  <c r="C142" i="3"/>
  <c r="C141" i="3"/>
  <c r="C139" i="3"/>
  <c r="C138" i="3"/>
  <c r="C137" i="3"/>
  <c r="C136" i="3"/>
  <c r="P135" i="3"/>
  <c r="M135" i="3"/>
  <c r="C135" i="3"/>
  <c r="P134" i="3"/>
  <c r="M134" i="3"/>
  <c r="C134" i="3"/>
  <c r="C133" i="3"/>
  <c r="C132" i="3"/>
  <c r="P131" i="3"/>
  <c r="M131" i="3"/>
  <c r="G131" i="3"/>
  <c r="C131" i="3"/>
  <c r="C130" i="3"/>
  <c r="C129" i="3"/>
  <c r="C128" i="3"/>
  <c r="C126" i="3"/>
  <c r="P125" i="3"/>
  <c r="M125" i="3"/>
  <c r="C125" i="3"/>
  <c r="C124" i="3"/>
  <c r="P123" i="3"/>
  <c r="M123" i="3"/>
  <c r="C123" i="3"/>
  <c r="P122" i="3"/>
  <c r="M122" i="3"/>
  <c r="C122" i="3"/>
  <c r="P121" i="3"/>
  <c r="M121" i="3"/>
  <c r="C121" i="3"/>
  <c r="P120" i="3"/>
  <c r="M120" i="3"/>
  <c r="C120" i="3"/>
  <c r="P119" i="3"/>
  <c r="M119" i="3"/>
  <c r="C119" i="3"/>
  <c r="P118" i="3"/>
  <c r="M118" i="3"/>
  <c r="C118" i="3"/>
  <c r="C116" i="3"/>
  <c r="C115" i="3"/>
  <c r="C114" i="3"/>
  <c r="C113" i="3"/>
  <c r="I112" i="3"/>
  <c r="C112" i="3"/>
  <c r="C111" i="3"/>
  <c r="C110" i="3"/>
  <c r="P109" i="3"/>
  <c r="M109" i="3"/>
  <c r="G109" i="3"/>
  <c r="C109" i="3"/>
  <c r="J108" i="3"/>
  <c r="C108" i="3"/>
  <c r="P107" i="3"/>
  <c r="M107" i="3"/>
  <c r="C107" i="3"/>
  <c r="P106" i="3"/>
  <c r="M106" i="3"/>
  <c r="C106" i="3"/>
  <c r="P105" i="3"/>
  <c r="M105" i="3"/>
  <c r="G105" i="3"/>
  <c r="C105" i="3"/>
  <c r="P104" i="3"/>
  <c r="M104" i="3"/>
  <c r="G104" i="3"/>
  <c r="C104" i="3"/>
  <c r="P103" i="3"/>
  <c r="M103" i="3"/>
  <c r="C103" i="3"/>
  <c r="C102" i="3"/>
  <c r="C101" i="3"/>
  <c r="C100" i="3"/>
  <c r="C99" i="3"/>
  <c r="C98" i="3"/>
  <c r="P97" i="3"/>
  <c r="M97" i="3"/>
  <c r="C97" i="3"/>
  <c r="P94" i="3"/>
  <c r="M94" i="3"/>
  <c r="C94" i="3"/>
  <c r="P93" i="3"/>
  <c r="M93" i="3"/>
  <c r="C93" i="3"/>
  <c r="P88" i="3"/>
  <c r="M88" i="3"/>
  <c r="C88" i="3"/>
  <c r="C87" i="3"/>
  <c r="P86" i="3"/>
  <c r="M86" i="3"/>
  <c r="C86" i="3"/>
  <c r="P85" i="3"/>
  <c r="M85" i="3"/>
  <c r="I85" i="3"/>
  <c r="C85" i="3"/>
  <c r="P84" i="3"/>
  <c r="M84" i="3"/>
  <c r="I84" i="3"/>
  <c r="C84" i="3"/>
  <c r="P83" i="3"/>
  <c r="M83" i="3"/>
  <c r="C83" i="3"/>
  <c r="P82" i="3"/>
  <c r="M82" i="3"/>
  <c r="C82" i="3"/>
  <c r="P81" i="3"/>
  <c r="M81" i="3"/>
  <c r="C81" i="3"/>
  <c r="C80" i="3"/>
  <c r="P79" i="3"/>
  <c r="M79" i="3"/>
  <c r="C79" i="3"/>
  <c r="C78" i="3"/>
  <c r="P77" i="3"/>
  <c r="M77" i="3"/>
  <c r="G77" i="3"/>
  <c r="J16" i="7" s="1"/>
  <c r="C77" i="3"/>
  <c r="P76" i="3"/>
  <c r="M76" i="3"/>
  <c r="C76" i="3"/>
  <c r="C75" i="3"/>
  <c r="P74" i="3"/>
  <c r="M74" i="3"/>
  <c r="C74" i="3"/>
  <c r="C73" i="3"/>
  <c r="P72" i="3"/>
  <c r="M72" i="3"/>
  <c r="I72" i="3"/>
  <c r="C72" i="3"/>
  <c r="I70" i="3"/>
  <c r="C70" i="3"/>
  <c r="C69" i="3"/>
  <c r="C68" i="3"/>
  <c r="C67" i="3"/>
  <c r="P66" i="3"/>
  <c r="M66" i="3"/>
  <c r="G66" i="3"/>
  <c r="C66" i="3"/>
  <c r="C65" i="3"/>
  <c r="P64" i="3"/>
  <c r="M64" i="3"/>
  <c r="C64" i="3"/>
  <c r="P63" i="3"/>
  <c r="M63" i="3"/>
  <c r="C63" i="3"/>
  <c r="P62" i="3"/>
  <c r="M62" i="3"/>
  <c r="C62" i="3"/>
  <c r="P61" i="3"/>
  <c r="M61" i="3"/>
  <c r="C61" i="3"/>
  <c r="C60" i="3"/>
  <c r="I59" i="3"/>
  <c r="C59" i="3"/>
  <c r="P58" i="3"/>
  <c r="M58" i="3"/>
  <c r="C58" i="3"/>
  <c r="C57" i="3"/>
  <c r="C56" i="3"/>
  <c r="C55" i="3"/>
  <c r="C54" i="3"/>
  <c r="C53" i="3"/>
  <c r="P51" i="3"/>
  <c r="M51" i="3"/>
  <c r="C51" i="3"/>
  <c r="C50" i="3"/>
  <c r="C49" i="3"/>
  <c r="P48" i="3"/>
  <c r="M48" i="3"/>
  <c r="C48" i="3"/>
  <c r="C47" i="3"/>
  <c r="C46" i="3"/>
  <c r="P45" i="3"/>
  <c r="M45" i="3"/>
  <c r="C45" i="3"/>
  <c r="C44" i="3"/>
  <c r="C43" i="3"/>
  <c r="C42" i="3"/>
  <c r="C39" i="3"/>
  <c r="P38" i="3"/>
  <c r="M38" i="3"/>
  <c r="G38" i="3"/>
  <c r="J7" i="7" s="1"/>
  <c r="C38" i="3"/>
  <c r="P37" i="3"/>
  <c r="M37" i="3"/>
  <c r="C37" i="3"/>
  <c r="C36" i="3"/>
  <c r="C35" i="3"/>
  <c r="P34" i="3"/>
  <c r="M34" i="3"/>
  <c r="C34" i="3"/>
  <c r="P33" i="3"/>
  <c r="M33" i="3"/>
  <c r="C33" i="3"/>
  <c r="C32" i="3"/>
  <c r="C31" i="3"/>
  <c r="P30" i="3"/>
  <c r="M30" i="3"/>
  <c r="C30" i="3"/>
  <c r="P29" i="3"/>
  <c r="M29" i="3"/>
  <c r="C29" i="3"/>
  <c r="P28" i="3"/>
  <c r="M28" i="3"/>
  <c r="C28" i="3"/>
  <c r="V27" i="3"/>
  <c r="W27" i="3" s="1"/>
  <c r="C27" i="3"/>
  <c r="G5" i="3"/>
  <c r="S131" i="5" l="1"/>
  <c r="S151" i="5" s="1"/>
  <c r="S152" i="5" s="1"/>
  <c r="V152" i="5" s="1"/>
  <c r="BI131" i="5"/>
  <c r="BI150" i="5" s="1"/>
  <c r="R92" i="5"/>
  <c r="R108" i="5" s="1"/>
  <c r="Q108" i="5" s="1"/>
  <c r="Q69" i="5"/>
  <c r="G5" i="4"/>
  <c r="J9" i="5"/>
  <c r="K9" i="5" s="1"/>
  <c r="E28" i="7"/>
  <c r="F28" i="7" s="1"/>
  <c r="Q28" i="5"/>
  <c r="E22" i="7"/>
  <c r="BF131" i="5"/>
  <c r="BF150" i="5" s="1"/>
  <c r="R73" i="5"/>
  <c r="J59" i="3"/>
  <c r="Q55" i="5"/>
  <c r="H11" i="4"/>
  <c r="J117" i="4"/>
  <c r="R47" i="5"/>
  <c r="Q47" i="5" s="1"/>
  <c r="J108" i="5"/>
  <c r="K108" i="5" s="1"/>
  <c r="D30" i="7"/>
  <c r="W98" i="4"/>
  <c r="X98" i="4" s="1"/>
  <c r="Q54" i="5"/>
  <c r="D22" i="7"/>
  <c r="X46" i="5"/>
  <c r="BE50" i="5"/>
  <c r="I73" i="5"/>
  <c r="H7" i="4" s="1"/>
  <c r="J89" i="5"/>
  <c r="K89" i="5" s="1"/>
  <c r="J27" i="3"/>
  <c r="G9" i="3" s="1"/>
  <c r="G6" i="3"/>
  <c r="I6" i="3" s="1"/>
  <c r="J72" i="3"/>
  <c r="Q75" i="3"/>
  <c r="V75" i="3" s="1"/>
  <c r="Q44" i="3"/>
  <c r="V44" i="3" s="1"/>
  <c r="U75" i="3"/>
  <c r="U44" i="3"/>
  <c r="S75" i="3"/>
  <c r="S44" i="3"/>
  <c r="T75" i="3"/>
  <c r="T44" i="3"/>
  <c r="R75" i="3"/>
  <c r="W75" i="3" s="1"/>
  <c r="X75" i="3" s="1"/>
  <c r="R44" i="3"/>
  <c r="L13" i="7"/>
  <c r="L27" i="7"/>
  <c r="J84" i="3"/>
  <c r="J70" i="3"/>
  <c r="J112" i="3"/>
  <c r="S225" i="3"/>
  <c r="S64" i="3"/>
  <c r="S76" i="3"/>
  <c r="L18" i="7"/>
  <c r="L11" i="7"/>
  <c r="S164" i="3"/>
  <c r="U165" i="3"/>
  <c r="U208" i="3"/>
  <c r="S212" i="3"/>
  <c r="Q83" i="3"/>
  <c r="V83" i="3" s="1"/>
  <c r="S82" i="3"/>
  <c r="U223" i="3"/>
  <c r="G10" i="4"/>
  <c r="D16" i="7"/>
  <c r="L23" i="7"/>
  <c r="L36" i="7"/>
  <c r="L35" i="7"/>
  <c r="U104" i="3"/>
  <c r="Q109" i="3"/>
  <c r="V109" i="3" s="1"/>
  <c r="T125" i="3"/>
  <c r="S152" i="3"/>
  <c r="U233" i="3"/>
  <c r="S83" i="3"/>
  <c r="T79" i="3"/>
  <c r="S74" i="3"/>
  <c r="T93" i="3"/>
  <c r="S103" i="3"/>
  <c r="R122" i="3"/>
  <c r="U123" i="3"/>
  <c r="U134" i="3"/>
  <c r="U28" i="3"/>
  <c r="T29" i="3"/>
  <c r="U197" i="3"/>
  <c r="U203" i="3"/>
  <c r="T204" i="3"/>
  <c r="T205" i="3"/>
  <c r="S34" i="3"/>
  <c r="S38" i="3"/>
  <c r="T85" i="3"/>
  <c r="Q218" i="3"/>
  <c r="V218" i="3" s="1"/>
  <c r="Q76" i="3"/>
  <c r="V76" i="3" s="1"/>
  <c r="Q105" i="3"/>
  <c r="V105" i="3" s="1"/>
  <c r="U107" i="3"/>
  <c r="U109" i="3"/>
  <c r="U122" i="3"/>
  <c r="U196" i="3"/>
  <c r="L9" i="7"/>
  <c r="G10" i="3"/>
  <c r="T58" i="3"/>
  <c r="T72" i="3"/>
  <c r="U85" i="3"/>
  <c r="Q104" i="3"/>
  <c r="V104" i="3" s="1"/>
  <c r="T106" i="3"/>
  <c r="U207" i="3"/>
  <c r="U226" i="3"/>
  <c r="R58" i="3"/>
  <c r="T61" i="3"/>
  <c r="S62" i="3"/>
  <c r="S88" i="3"/>
  <c r="U94" i="3"/>
  <c r="U106" i="3"/>
  <c r="T166" i="3"/>
  <c r="T180" i="3"/>
  <c r="T200" i="3"/>
  <c r="T37" i="3"/>
  <c r="U77" i="3"/>
  <c r="U79" i="3"/>
  <c r="T86" i="3"/>
  <c r="U218" i="3"/>
  <c r="Q233" i="3"/>
  <c r="V233" i="3" s="1"/>
  <c r="U30" i="3"/>
  <c r="S45" i="3"/>
  <c r="Q51" i="3"/>
  <c r="V51" i="3" s="1"/>
  <c r="U61" i="3"/>
  <c r="T66" i="3"/>
  <c r="U76" i="3"/>
  <c r="U81" i="3"/>
  <c r="U83" i="3"/>
  <c r="Q94" i="3"/>
  <c r="V94" i="3" s="1"/>
  <c r="T118" i="3"/>
  <c r="T119" i="3"/>
  <c r="U160" i="3"/>
  <c r="U180" i="3"/>
  <c r="T223" i="3"/>
  <c r="T229" i="3"/>
  <c r="L26" i="7"/>
  <c r="L31" i="7"/>
  <c r="U61" i="4"/>
  <c r="U163" i="4"/>
  <c r="U189" i="4"/>
  <c r="D31" i="7"/>
  <c r="S67" i="4"/>
  <c r="Q68" i="4"/>
  <c r="V68" i="4" s="1"/>
  <c r="Q93" i="4"/>
  <c r="V93" i="4" s="1"/>
  <c r="R107" i="4"/>
  <c r="T119" i="4"/>
  <c r="Q121" i="4"/>
  <c r="V121" i="4" s="1"/>
  <c r="Q135" i="4"/>
  <c r="V135" i="4" s="1"/>
  <c r="U157" i="4"/>
  <c r="F32" i="7"/>
  <c r="F36" i="7"/>
  <c r="R29" i="3"/>
  <c r="T30" i="3"/>
  <c r="S33" i="3"/>
  <c r="U34" i="3"/>
  <c r="Q37" i="3"/>
  <c r="V37" i="3" s="1"/>
  <c r="U51" i="3"/>
  <c r="U58" i="3"/>
  <c r="U62" i="3"/>
  <c r="S63" i="3"/>
  <c r="T64" i="3"/>
  <c r="U74" i="3"/>
  <c r="S79" i="3"/>
  <c r="S84" i="3"/>
  <c r="S85" i="3"/>
  <c r="T103" i="3"/>
  <c r="T107" i="3"/>
  <c r="U118" i="3"/>
  <c r="Q119" i="3"/>
  <c r="V119" i="3" s="1"/>
  <c r="S121" i="3"/>
  <c r="T122" i="3"/>
  <c r="T123" i="3"/>
  <c r="T134" i="3"/>
  <c r="T160" i="3"/>
  <c r="T164" i="3"/>
  <c r="T165" i="3"/>
  <c r="Q166" i="3"/>
  <c r="V166" i="3" s="1"/>
  <c r="T196" i="3"/>
  <c r="S200" i="3"/>
  <c r="Q204" i="3"/>
  <c r="V204" i="3" s="1"/>
  <c r="T208" i="3"/>
  <c r="S210" i="3"/>
  <c r="S223" i="3"/>
  <c r="U225" i="3"/>
  <c r="S226" i="3"/>
  <c r="Q229" i="3"/>
  <c r="V229" i="3" s="1"/>
  <c r="Q30" i="3"/>
  <c r="V30" i="3" s="1"/>
  <c r="U37" i="3"/>
  <c r="R64" i="3"/>
  <c r="Q107" i="3"/>
  <c r="V107" i="3" s="1"/>
  <c r="U119" i="3"/>
  <c r="Q122" i="3"/>
  <c r="V122" i="3" s="1"/>
  <c r="Q123" i="3"/>
  <c r="V123" i="3" s="1"/>
  <c r="Q134" i="3"/>
  <c r="V134" i="3" s="1"/>
  <c r="Q160" i="3"/>
  <c r="V160" i="3" s="1"/>
  <c r="Q165" i="3"/>
  <c r="V165" i="3" s="1"/>
  <c r="U166" i="3"/>
  <c r="Q196" i="3"/>
  <c r="V196" i="3" s="1"/>
  <c r="U204" i="3"/>
  <c r="Q208" i="3"/>
  <c r="V208" i="3" s="1"/>
  <c r="U229" i="3"/>
  <c r="K5" i="7"/>
  <c r="L5" i="7" s="1"/>
  <c r="R74" i="3"/>
  <c r="S105" i="3"/>
  <c r="S28" i="3"/>
  <c r="U29" i="3"/>
  <c r="U38" i="3"/>
  <c r="Q58" i="3"/>
  <c r="V58" i="3" s="1"/>
  <c r="Q61" i="3"/>
  <c r="V61" i="3" s="1"/>
  <c r="T76" i="3"/>
  <c r="S77" i="3"/>
  <c r="Q79" i="3"/>
  <c r="V79" i="3" s="1"/>
  <c r="S81" i="3"/>
  <c r="U82" i="3"/>
  <c r="T83" i="3"/>
  <c r="Q85" i="3"/>
  <c r="V85" i="3" s="1"/>
  <c r="T94" i="3"/>
  <c r="T104" i="3"/>
  <c r="Q106" i="3"/>
  <c r="V106" i="3" s="1"/>
  <c r="T109" i="3"/>
  <c r="Q118" i="3"/>
  <c r="V118" i="3" s="1"/>
  <c r="Q180" i="3"/>
  <c r="V180" i="3" s="1"/>
  <c r="Q197" i="3"/>
  <c r="V197" i="3" s="1"/>
  <c r="S203" i="3"/>
  <c r="S204" i="3"/>
  <c r="Q207" i="3"/>
  <c r="V207" i="3" s="1"/>
  <c r="U212" i="3"/>
  <c r="T218" i="3"/>
  <c r="Q223" i="3"/>
  <c r="V223" i="3" s="1"/>
  <c r="T233" i="3"/>
  <c r="L24" i="7"/>
  <c r="L28" i="7"/>
  <c r="L33" i="7"/>
  <c r="L37" i="7"/>
  <c r="T50" i="4"/>
  <c r="U101" i="4"/>
  <c r="Q138" i="4"/>
  <c r="V138" i="4" s="1"/>
  <c r="U181" i="4"/>
  <c r="T190" i="4"/>
  <c r="S71" i="4"/>
  <c r="U142" i="4"/>
  <c r="S63" i="4"/>
  <c r="T84" i="4"/>
  <c r="Q90" i="4"/>
  <c r="V90" i="4" s="1"/>
  <c r="S96" i="4"/>
  <c r="S187" i="4"/>
  <c r="S199" i="4"/>
  <c r="U200" i="4"/>
  <c r="Q142" i="4"/>
  <c r="V142" i="4" s="1"/>
  <c r="U148" i="4"/>
  <c r="U177" i="4"/>
  <c r="R39" i="4"/>
  <c r="T61" i="4"/>
  <c r="S75" i="4"/>
  <c r="S84" i="4"/>
  <c r="S99" i="4"/>
  <c r="S103" i="4"/>
  <c r="S111" i="4"/>
  <c r="T135" i="4"/>
  <c r="T170" i="4"/>
  <c r="T188" i="4"/>
  <c r="T189" i="4"/>
  <c r="U32" i="4"/>
  <c r="S34" i="4"/>
  <c r="T35" i="4"/>
  <c r="T43" i="4"/>
  <c r="T97" i="4"/>
  <c r="Q101" i="4"/>
  <c r="V101" i="4" s="1"/>
  <c r="S143" i="4"/>
  <c r="T147" i="4"/>
  <c r="S178" i="4"/>
  <c r="S69" i="4"/>
  <c r="S70" i="4"/>
  <c r="T99" i="4"/>
  <c r="U104" i="4"/>
  <c r="S140" i="4"/>
  <c r="S141" i="4"/>
  <c r="S142" i="4"/>
  <c r="Q157" i="4"/>
  <c r="V157" i="4" s="1"/>
  <c r="U173" i="4"/>
  <c r="S175" i="4"/>
  <c r="U197" i="4"/>
  <c r="Q50" i="4"/>
  <c r="V50" i="4" s="1"/>
  <c r="U71" i="4"/>
  <c r="Q97" i="4"/>
  <c r="V97" i="4" s="1"/>
  <c r="T108" i="4"/>
  <c r="Q111" i="4"/>
  <c r="V111" i="4" s="1"/>
  <c r="T124" i="4"/>
  <c r="U146" i="4"/>
  <c r="Q181" i="4"/>
  <c r="V181" i="4" s="1"/>
  <c r="S183" i="4"/>
  <c r="Q188" i="4"/>
  <c r="V188" i="4" s="1"/>
  <c r="Q197" i="4"/>
  <c r="V197" i="4" s="1"/>
  <c r="S30" i="4"/>
  <c r="S33" i="4"/>
  <c r="S40" i="4"/>
  <c r="U43" i="4"/>
  <c r="S44" i="4"/>
  <c r="S47" i="4"/>
  <c r="S48" i="4"/>
  <c r="U50" i="4"/>
  <c r="S61" i="4"/>
  <c r="T67" i="4"/>
  <c r="Q104" i="4"/>
  <c r="V104" i="4" s="1"/>
  <c r="Q108" i="4"/>
  <c r="V108" i="4" s="1"/>
  <c r="S114" i="4"/>
  <c r="U121" i="4"/>
  <c r="S124" i="4"/>
  <c r="T156" i="4"/>
  <c r="U182" i="4"/>
  <c r="Q189" i="4"/>
  <c r="V189" i="4" s="1"/>
  <c r="Q200" i="4"/>
  <c r="V200" i="4" s="1"/>
  <c r="U202" i="4"/>
  <c r="Q43" i="4"/>
  <c r="V43" i="4" s="1"/>
  <c r="U73" i="4"/>
  <c r="T87" i="4"/>
  <c r="S90" i="4"/>
  <c r="T112" i="4"/>
  <c r="S118" i="4"/>
  <c r="T136" i="4"/>
  <c r="S150" i="4"/>
  <c r="S158" i="4"/>
  <c r="S184" i="4"/>
  <c r="U27" i="4"/>
  <c r="R42" i="4"/>
  <c r="G9" i="4"/>
  <c r="T93" i="4"/>
  <c r="S107" i="4"/>
  <c r="Q114" i="4"/>
  <c r="V114" i="4" s="1"/>
  <c r="U133" i="4"/>
  <c r="T138" i="4"/>
  <c r="S139" i="4"/>
  <c r="Q156" i="4"/>
  <c r="V156" i="4" s="1"/>
  <c r="Q163" i="4"/>
  <c r="V163" i="4" s="1"/>
  <c r="S181" i="4"/>
  <c r="T186" i="4"/>
  <c r="S196" i="4"/>
  <c r="F29" i="7"/>
  <c r="T27" i="4"/>
  <c r="R28" i="4"/>
  <c r="R32" i="4"/>
  <c r="T33" i="4"/>
  <c r="U39" i="4"/>
  <c r="U42" i="4"/>
  <c r="S43" i="4"/>
  <c r="S50" i="4"/>
  <c r="T70" i="4"/>
  <c r="R73" i="4"/>
  <c r="T75" i="4"/>
  <c r="S83" i="4"/>
  <c r="Q87" i="4"/>
  <c r="V87" i="4" s="1"/>
  <c r="T90" i="4"/>
  <c r="U93" i="4"/>
  <c r="T95" i="4"/>
  <c r="U97" i="4"/>
  <c r="U108" i="4"/>
  <c r="S112" i="4"/>
  <c r="T114" i="4"/>
  <c r="Q118" i="4"/>
  <c r="V118" i="4" s="1"/>
  <c r="S119" i="4"/>
  <c r="Q133" i="4"/>
  <c r="V133" i="4" s="1"/>
  <c r="U138" i="4"/>
  <c r="Q139" i="4"/>
  <c r="V139" i="4" s="1"/>
  <c r="Q143" i="4"/>
  <c r="V143" i="4" s="1"/>
  <c r="Q150" i="4"/>
  <c r="V150" i="4" s="1"/>
  <c r="U156" i="4"/>
  <c r="T158" i="4"/>
  <c r="Q170" i="4"/>
  <c r="V170" i="4" s="1"/>
  <c r="Q173" i="4"/>
  <c r="V173" i="4" s="1"/>
  <c r="S186" i="4"/>
  <c r="U188" i="4"/>
  <c r="R67" i="4"/>
  <c r="F21" i="7"/>
  <c r="Q33" i="4"/>
  <c r="V33" i="4" s="1"/>
  <c r="U35" i="4"/>
  <c r="Q70" i="4"/>
  <c r="V70" i="4" s="1"/>
  <c r="Q75" i="4"/>
  <c r="V75" i="4" s="1"/>
  <c r="Q83" i="4"/>
  <c r="V83" i="4" s="1"/>
  <c r="U87" i="4"/>
  <c r="U90" i="4"/>
  <c r="S95" i="4"/>
  <c r="T96" i="4"/>
  <c r="T101" i="4"/>
  <c r="T103" i="4"/>
  <c r="T104" i="4"/>
  <c r="T107" i="4"/>
  <c r="U114" i="4"/>
  <c r="T121" i="4"/>
  <c r="S133" i="4"/>
  <c r="S135" i="4"/>
  <c r="S138" i="4"/>
  <c r="T139" i="4"/>
  <c r="U141" i="4"/>
  <c r="T142" i="4"/>
  <c r="T143" i="4"/>
  <c r="T150" i="4"/>
  <c r="S155" i="4"/>
  <c r="S156" i="4"/>
  <c r="U170" i="4"/>
  <c r="T173" i="4"/>
  <c r="U175" i="4"/>
  <c r="T181" i="4"/>
  <c r="T197" i="4"/>
  <c r="S202" i="4"/>
  <c r="J171" i="4"/>
  <c r="F18" i="7"/>
  <c r="F15" i="7"/>
  <c r="U33" i="4"/>
  <c r="U70" i="4"/>
  <c r="S73" i="4"/>
  <c r="U75" i="4"/>
  <c r="S85" i="4"/>
  <c r="S87" i="4"/>
  <c r="S136" i="4"/>
  <c r="U143" i="4"/>
  <c r="S146" i="4"/>
  <c r="S170" i="4"/>
  <c r="T200" i="4"/>
  <c r="F9" i="7"/>
  <c r="F14" i="7"/>
  <c r="T198" i="4"/>
  <c r="T71" i="4"/>
  <c r="U28" i="4"/>
  <c r="U147" i="4"/>
  <c r="S147" i="4"/>
  <c r="Q147" i="4"/>
  <c r="V147" i="4" s="1"/>
  <c r="L34" i="7"/>
  <c r="L30" i="7"/>
  <c r="L25" i="7"/>
  <c r="L20" i="7"/>
  <c r="L10" i="7"/>
  <c r="BE49" i="5"/>
  <c r="AC46" i="5"/>
  <c r="J49" i="5"/>
  <c r="BG55" i="5"/>
  <c r="R89" i="5"/>
  <c r="Q18" i="5"/>
  <c r="J28" i="5"/>
  <c r="K28" i="5" s="1"/>
  <c r="BG28" i="5"/>
  <c r="BG131" i="5" s="1"/>
  <c r="BG150" i="5" s="1"/>
  <c r="J46" i="5"/>
  <c r="BE46" i="5"/>
  <c r="Q49" i="5"/>
  <c r="J50" i="5"/>
  <c r="T34" i="4"/>
  <c r="S35" i="4"/>
  <c r="G6" i="4"/>
  <c r="S28" i="4"/>
  <c r="Q30" i="4"/>
  <c r="V30" i="4" s="1"/>
  <c r="U30" i="4"/>
  <c r="S32" i="4"/>
  <c r="R33" i="4"/>
  <c r="Q34" i="4"/>
  <c r="V34" i="4" s="1"/>
  <c r="U34" i="4"/>
  <c r="S39" i="4"/>
  <c r="Q40" i="4"/>
  <c r="V40" i="4" s="1"/>
  <c r="U40" i="4"/>
  <c r="S42" i="4"/>
  <c r="R43" i="4"/>
  <c r="Q44" i="4"/>
  <c r="V44" i="4" s="1"/>
  <c r="R46" i="4"/>
  <c r="U47" i="4"/>
  <c r="Q47" i="4"/>
  <c r="V47" i="4" s="1"/>
  <c r="R50" i="4"/>
  <c r="J54" i="4"/>
  <c r="U69" i="4"/>
  <c r="U91" i="4"/>
  <c r="Q91" i="4"/>
  <c r="V91" i="4" s="1"/>
  <c r="T91" i="4"/>
  <c r="S91" i="4"/>
  <c r="U125" i="4"/>
  <c r="Q125" i="4"/>
  <c r="V125" i="4" s="1"/>
  <c r="S125" i="4"/>
  <c r="S27" i="4"/>
  <c r="T30" i="4"/>
  <c r="U46" i="4"/>
  <c r="Q46" i="4"/>
  <c r="V46" i="4" s="1"/>
  <c r="U113" i="4"/>
  <c r="Q113" i="4"/>
  <c r="V113" i="4" s="1"/>
  <c r="S113" i="4"/>
  <c r="R202" i="4"/>
  <c r="R198" i="4"/>
  <c r="R190" i="4"/>
  <c r="R186" i="4"/>
  <c r="R183" i="4"/>
  <c r="R178" i="4"/>
  <c r="R174" i="4"/>
  <c r="R171" i="4"/>
  <c r="R163" i="4"/>
  <c r="R218" i="4"/>
  <c r="R201" i="4"/>
  <c r="R189" i="4"/>
  <c r="R182" i="4"/>
  <c r="R177" i="4"/>
  <c r="R173" i="4"/>
  <c r="R200" i="4"/>
  <c r="R197" i="4"/>
  <c r="R187" i="4"/>
  <c r="R164" i="4"/>
  <c r="R151" i="4"/>
  <c r="R144" i="4"/>
  <c r="R140" i="4"/>
  <c r="R136" i="4"/>
  <c r="R133" i="4"/>
  <c r="R199" i="4"/>
  <c r="R196" i="4"/>
  <c r="R181" i="4"/>
  <c r="R170" i="4"/>
  <c r="R162" i="4"/>
  <c r="R150" i="4"/>
  <c r="R148" i="4"/>
  <c r="R143" i="4"/>
  <c r="R139" i="4"/>
  <c r="R135" i="4"/>
  <c r="R175" i="4"/>
  <c r="R157" i="4"/>
  <c r="R156" i="4"/>
  <c r="R142" i="4"/>
  <c r="R124" i="4"/>
  <c r="R119" i="4"/>
  <c r="R115" i="4"/>
  <c r="R112" i="4"/>
  <c r="R106" i="4"/>
  <c r="R99" i="4"/>
  <c r="R95" i="4"/>
  <c r="R91" i="4"/>
  <c r="R84" i="4"/>
  <c r="R72" i="4"/>
  <c r="R47" i="4"/>
  <c r="R188" i="4"/>
  <c r="R155" i="4"/>
  <c r="R147" i="4"/>
  <c r="R141" i="4"/>
  <c r="R134" i="4"/>
  <c r="R118" i="4"/>
  <c r="R114" i="4"/>
  <c r="R111" i="4"/>
  <c r="R94" i="4"/>
  <c r="R90" i="4"/>
  <c r="R83" i="4"/>
  <c r="R71" i="4"/>
  <c r="R68" i="4"/>
  <c r="R61" i="4"/>
  <c r="R55" i="4"/>
  <c r="R158" i="4"/>
  <c r="R121" i="4"/>
  <c r="R96" i="4"/>
  <c r="R87" i="4"/>
  <c r="R138" i="4"/>
  <c r="R125" i="4"/>
  <c r="R120" i="4"/>
  <c r="R113" i="4"/>
  <c r="R104" i="4"/>
  <c r="R93" i="4"/>
  <c r="R85" i="4"/>
  <c r="R70" i="4"/>
  <c r="R63" i="4"/>
  <c r="R48" i="4"/>
  <c r="R184" i="4"/>
  <c r="R146" i="4"/>
  <c r="R108" i="4"/>
  <c r="R103" i="4"/>
  <c r="R75" i="4"/>
  <c r="R69" i="4"/>
  <c r="G13" i="4"/>
  <c r="Q27" i="4"/>
  <c r="V27" i="4" s="1"/>
  <c r="T28" i="4"/>
  <c r="R30" i="4"/>
  <c r="T32" i="4"/>
  <c r="R34" i="4"/>
  <c r="Q35" i="4"/>
  <c r="V35" i="4" s="1"/>
  <c r="T39" i="4"/>
  <c r="R40" i="4"/>
  <c r="T42" i="4"/>
  <c r="R44" i="4"/>
  <c r="S46" i="4"/>
  <c r="S55" i="4"/>
  <c r="U55" i="4"/>
  <c r="T55" i="4"/>
  <c r="S94" i="4"/>
  <c r="U94" i="4"/>
  <c r="T94" i="4"/>
  <c r="Q94" i="4"/>
  <c r="V94" i="4" s="1"/>
  <c r="R101" i="4"/>
  <c r="U115" i="4"/>
  <c r="Q115" i="4"/>
  <c r="V115" i="4" s="1"/>
  <c r="T115" i="4"/>
  <c r="S115" i="4"/>
  <c r="U134" i="4"/>
  <c r="Q134" i="4"/>
  <c r="V134" i="4" s="1"/>
  <c r="S134" i="4"/>
  <c r="T134" i="4"/>
  <c r="S151" i="4"/>
  <c r="T151" i="4"/>
  <c r="T164" i="4"/>
  <c r="S164" i="4"/>
  <c r="T40" i="4"/>
  <c r="U44" i="4"/>
  <c r="U72" i="4"/>
  <c r="Q72" i="4"/>
  <c r="V72" i="4" s="1"/>
  <c r="T72" i="4"/>
  <c r="S72" i="4"/>
  <c r="U106" i="4"/>
  <c r="Q106" i="4"/>
  <c r="V106" i="4" s="1"/>
  <c r="T106" i="4"/>
  <c r="S106" i="4"/>
  <c r="U120" i="4"/>
  <c r="Q120" i="4"/>
  <c r="V120" i="4" s="1"/>
  <c r="S120" i="4"/>
  <c r="G12" i="4"/>
  <c r="R27" i="4"/>
  <c r="Q28" i="4"/>
  <c r="V28" i="4" s="1"/>
  <c r="Q32" i="4"/>
  <c r="V32" i="4" s="1"/>
  <c r="R35" i="4"/>
  <c r="Q39" i="4"/>
  <c r="V39" i="4" s="1"/>
  <c r="Q42" i="4"/>
  <c r="V42" i="4" s="1"/>
  <c r="T44" i="4"/>
  <c r="T46" i="4"/>
  <c r="T47" i="4"/>
  <c r="Q55" i="4"/>
  <c r="V55" i="4" s="1"/>
  <c r="S68" i="4"/>
  <c r="U68" i="4"/>
  <c r="T68" i="4"/>
  <c r="R97" i="4"/>
  <c r="U144" i="4"/>
  <c r="Q144" i="4"/>
  <c r="V144" i="4" s="1"/>
  <c r="T144" i="4"/>
  <c r="S144" i="4"/>
  <c r="U48" i="4"/>
  <c r="U63" i="4"/>
  <c r="T83" i="4"/>
  <c r="U85" i="4"/>
  <c r="U96" i="4"/>
  <c r="Q96" i="4"/>
  <c r="V96" i="4" s="1"/>
  <c r="T111" i="4"/>
  <c r="T113" i="4"/>
  <c r="T118" i="4"/>
  <c r="T120" i="4"/>
  <c r="T125" i="4"/>
  <c r="T140" i="4"/>
  <c r="S148" i="4"/>
  <c r="T148" i="4"/>
  <c r="Q148" i="4"/>
  <c r="V148" i="4" s="1"/>
  <c r="U155" i="4"/>
  <c r="U162" i="4"/>
  <c r="Q162" i="4"/>
  <c r="V162" i="4" s="1"/>
  <c r="S162" i="4"/>
  <c r="T162" i="4"/>
  <c r="Q61" i="4"/>
  <c r="V61" i="4" s="1"/>
  <c r="U67" i="4"/>
  <c r="Q67" i="4"/>
  <c r="V67" i="4" s="1"/>
  <c r="J68" i="4"/>
  <c r="Q71" i="4"/>
  <c r="V71" i="4" s="1"/>
  <c r="U83" i="4"/>
  <c r="U84" i="4"/>
  <c r="Q84" i="4"/>
  <c r="V84" i="4" s="1"/>
  <c r="U99" i="4"/>
  <c r="Q99" i="4"/>
  <c r="V99" i="4" s="1"/>
  <c r="U107" i="4"/>
  <c r="Q107" i="4"/>
  <c r="V107" i="4" s="1"/>
  <c r="U111" i="4"/>
  <c r="U112" i="4"/>
  <c r="Q112" i="4"/>
  <c r="V112" i="4" s="1"/>
  <c r="U118" i="4"/>
  <c r="U119" i="4"/>
  <c r="Q119" i="4"/>
  <c r="V119" i="4" s="1"/>
  <c r="U124" i="4"/>
  <c r="Q124" i="4"/>
  <c r="V124" i="4" s="1"/>
  <c r="U174" i="4"/>
  <c r="Q174" i="4"/>
  <c r="V174" i="4" s="1"/>
  <c r="T174" i="4"/>
  <c r="S174" i="4"/>
  <c r="U218" i="4"/>
  <c r="Q218" i="4"/>
  <c r="V218" i="4" s="1"/>
  <c r="T218" i="4"/>
  <c r="U95" i="4"/>
  <c r="Q95" i="4"/>
  <c r="V95" i="4" s="1"/>
  <c r="U103" i="4"/>
  <c r="Q103" i="4"/>
  <c r="V103" i="4" s="1"/>
  <c r="U199" i="4"/>
  <c r="S218" i="4"/>
  <c r="T48" i="4"/>
  <c r="T63" i="4"/>
  <c r="T69" i="4"/>
  <c r="T73" i="4"/>
  <c r="T85" i="4"/>
  <c r="S93" i="4"/>
  <c r="S97" i="4"/>
  <c r="S101" i="4"/>
  <c r="S104" i="4"/>
  <c r="S108" i="4"/>
  <c r="S121" i="4"/>
  <c r="T133" i="4"/>
  <c r="J135" i="4"/>
  <c r="U135" i="4"/>
  <c r="U136" i="4"/>
  <c r="Q136" i="4"/>
  <c r="V136" i="4" s="1"/>
  <c r="U139" i="4"/>
  <c r="U140" i="4"/>
  <c r="Q140" i="4"/>
  <c r="V140" i="4" s="1"/>
  <c r="U150" i="4"/>
  <c r="U151" i="4"/>
  <c r="Q151" i="4"/>
  <c r="V151" i="4" s="1"/>
  <c r="T177" i="4"/>
  <c r="Q177" i="4"/>
  <c r="V177" i="4" s="1"/>
  <c r="U178" i="4"/>
  <c r="Q178" i="4"/>
  <c r="V178" i="4" s="1"/>
  <c r="T178" i="4"/>
  <c r="U196" i="4"/>
  <c r="U201" i="4"/>
  <c r="Q201" i="4"/>
  <c r="V201" i="4" s="1"/>
  <c r="T201" i="4"/>
  <c r="Q48" i="4"/>
  <c r="V48" i="4" s="1"/>
  <c r="Q63" i="4"/>
  <c r="V63" i="4" s="1"/>
  <c r="Q69" i="4"/>
  <c r="V69" i="4" s="1"/>
  <c r="Q73" i="4"/>
  <c r="V73" i="4" s="1"/>
  <c r="Q85" i="4"/>
  <c r="V85" i="4" s="1"/>
  <c r="T163" i="4"/>
  <c r="S163" i="4"/>
  <c r="U171" i="4"/>
  <c r="Q171" i="4"/>
  <c r="V171" i="4" s="1"/>
  <c r="T171" i="4"/>
  <c r="S171" i="4"/>
  <c r="T182" i="4"/>
  <c r="Q182" i="4"/>
  <c r="V182" i="4" s="1"/>
  <c r="U183" i="4"/>
  <c r="Q183" i="4"/>
  <c r="V183" i="4" s="1"/>
  <c r="T183" i="4"/>
  <c r="T141" i="4"/>
  <c r="T146" i="4"/>
  <c r="T155" i="4"/>
  <c r="S157" i="4"/>
  <c r="U158" i="4"/>
  <c r="J163" i="4"/>
  <c r="U164" i="4"/>
  <c r="Q164" i="4"/>
  <c r="V164" i="4" s="1"/>
  <c r="J185" i="4"/>
  <c r="U187" i="4"/>
  <c r="U190" i="4"/>
  <c r="Q190" i="4"/>
  <c r="V190" i="4" s="1"/>
  <c r="U198" i="4"/>
  <c r="Q198" i="4"/>
  <c r="V198" i="4" s="1"/>
  <c r="Q141" i="4"/>
  <c r="V141" i="4" s="1"/>
  <c r="Q146" i="4"/>
  <c r="V146" i="4" s="1"/>
  <c r="Q155" i="4"/>
  <c r="V155" i="4" s="1"/>
  <c r="T157" i="4"/>
  <c r="Q158" i="4"/>
  <c r="V158" i="4" s="1"/>
  <c r="U184" i="4"/>
  <c r="U186" i="4"/>
  <c r="Q186" i="4"/>
  <c r="V186" i="4" s="1"/>
  <c r="S190" i="4"/>
  <c r="S198" i="4"/>
  <c r="T202" i="4"/>
  <c r="T175" i="4"/>
  <c r="T184" i="4"/>
  <c r="T187" i="4"/>
  <c r="S188" i="4"/>
  <c r="T196" i="4"/>
  <c r="S197" i="4"/>
  <c r="T199" i="4"/>
  <c r="S200" i="4"/>
  <c r="Q202" i="4"/>
  <c r="V202" i="4" s="1"/>
  <c r="S173" i="4"/>
  <c r="Q175" i="4"/>
  <c r="V175" i="4" s="1"/>
  <c r="S177" i="4"/>
  <c r="S182" i="4"/>
  <c r="Q184" i="4"/>
  <c r="V184" i="4" s="1"/>
  <c r="Q187" i="4"/>
  <c r="V187" i="4" s="1"/>
  <c r="S189" i="4"/>
  <c r="Q196" i="4"/>
  <c r="V196" i="4" s="1"/>
  <c r="Q199" i="4"/>
  <c r="V199" i="4" s="1"/>
  <c r="S201" i="4"/>
  <c r="T45" i="3"/>
  <c r="S97" i="3"/>
  <c r="U97" i="3"/>
  <c r="Q97" i="3"/>
  <c r="V97" i="3" s="1"/>
  <c r="T97" i="3"/>
  <c r="R225" i="3"/>
  <c r="R220" i="3"/>
  <c r="R210" i="3"/>
  <c r="R200" i="3"/>
  <c r="R197" i="3"/>
  <c r="R193" i="3"/>
  <c r="R179" i="3"/>
  <c r="R164" i="3"/>
  <c r="R219" i="3"/>
  <c r="R209" i="3"/>
  <c r="R205" i="3"/>
  <c r="R162" i="3"/>
  <c r="R157" i="3"/>
  <c r="R233" i="3"/>
  <c r="R229" i="3"/>
  <c r="R223" i="3"/>
  <c r="R218" i="3"/>
  <c r="R208" i="3"/>
  <c r="R204" i="3"/>
  <c r="R196" i="3"/>
  <c r="R166" i="3"/>
  <c r="R160" i="3"/>
  <c r="R165" i="3"/>
  <c r="R152" i="3"/>
  <c r="R121" i="3"/>
  <c r="R105" i="3"/>
  <c r="R103" i="3"/>
  <c r="R203" i="3"/>
  <c r="R151" i="3"/>
  <c r="R135" i="3"/>
  <c r="R131" i="3"/>
  <c r="R125" i="3"/>
  <c r="R120" i="3"/>
  <c r="R97" i="3"/>
  <c r="R226" i="3"/>
  <c r="R207" i="3"/>
  <c r="R134" i="3"/>
  <c r="R123" i="3"/>
  <c r="R119" i="3"/>
  <c r="R107" i="3"/>
  <c r="R104" i="3"/>
  <c r="R94" i="3"/>
  <c r="R180" i="3"/>
  <c r="R88" i="3"/>
  <c r="R84" i="3"/>
  <c r="R81" i="3"/>
  <c r="R77" i="3"/>
  <c r="R63" i="3"/>
  <c r="R48" i="3"/>
  <c r="R106" i="3"/>
  <c r="R86" i="3"/>
  <c r="R72" i="3"/>
  <c r="R66" i="3"/>
  <c r="R62" i="3"/>
  <c r="R212" i="3"/>
  <c r="R85" i="3"/>
  <c r="R83" i="3"/>
  <c r="R79" i="3"/>
  <c r="R76" i="3"/>
  <c r="T28" i="3"/>
  <c r="S29" i="3"/>
  <c r="R30" i="3"/>
  <c r="Q33" i="3"/>
  <c r="V33" i="3" s="1"/>
  <c r="U33" i="3"/>
  <c r="T34" i="3"/>
  <c r="R37" i="3"/>
  <c r="T38" i="3"/>
  <c r="Q45" i="3"/>
  <c r="V45" i="3" s="1"/>
  <c r="U45" i="3"/>
  <c r="U48" i="3"/>
  <c r="Q48" i="3"/>
  <c r="V48" i="3" s="1"/>
  <c r="R51" i="3"/>
  <c r="U84" i="3"/>
  <c r="J85" i="3"/>
  <c r="R93" i="3"/>
  <c r="Q220" i="3"/>
  <c r="V220" i="3" s="1"/>
  <c r="S220" i="3"/>
  <c r="T33" i="3"/>
  <c r="U63" i="3"/>
  <c r="Q63" i="3"/>
  <c r="V63" i="3" s="1"/>
  <c r="G12" i="3"/>
  <c r="Q28" i="3"/>
  <c r="V28" i="3" s="1"/>
  <c r="S30" i="3"/>
  <c r="R33" i="3"/>
  <c r="Q34" i="3"/>
  <c r="V34" i="3" s="1"/>
  <c r="S37" i="3"/>
  <c r="Q38" i="3"/>
  <c r="V38" i="3" s="1"/>
  <c r="R45" i="3"/>
  <c r="S48" i="3"/>
  <c r="S51" i="3"/>
  <c r="Q62" i="3"/>
  <c r="V62" i="3" s="1"/>
  <c r="T63" i="3"/>
  <c r="U64" i="3"/>
  <c r="Q64" i="3"/>
  <c r="V64" i="3" s="1"/>
  <c r="S72" i="3"/>
  <c r="U72" i="3"/>
  <c r="Q72" i="3"/>
  <c r="V72" i="3" s="1"/>
  <c r="R82" i="3"/>
  <c r="R118" i="3"/>
  <c r="Q193" i="3"/>
  <c r="V193" i="3" s="1"/>
  <c r="S193" i="3"/>
  <c r="G13" i="3"/>
  <c r="R28" i="3"/>
  <c r="Q29" i="3"/>
  <c r="V29" i="3" s="1"/>
  <c r="R34" i="3"/>
  <c r="R38" i="3"/>
  <c r="T48" i="3"/>
  <c r="R61" i="3"/>
  <c r="T62" i="3"/>
  <c r="S66" i="3"/>
  <c r="U66" i="3"/>
  <c r="Q66" i="3"/>
  <c r="V66" i="3" s="1"/>
  <c r="S86" i="3"/>
  <c r="U86" i="3"/>
  <c r="Q86" i="3"/>
  <c r="V86" i="3" s="1"/>
  <c r="U88" i="3"/>
  <c r="R109" i="3"/>
  <c r="S131" i="3"/>
  <c r="U131" i="3"/>
  <c r="Q131" i="3"/>
  <c r="V131" i="3" s="1"/>
  <c r="T131" i="3"/>
  <c r="S151" i="3"/>
  <c r="U151" i="3"/>
  <c r="Q151" i="3"/>
  <c r="V151" i="3" s="1"/>
  <c r="T151" i="3"/>
  <c r="S162" i="3"/>
  <c r="U162" i="3"/>
  <c r="Q162" i="3"/>
  <c r="V162" i="3" s="1"/>
  <c r="T162" i="3"/>
  <c r="T77" i="3"/>
  <c r="T81" i="3"/>
  <c r="T84" i="3"/>
  <c r="T88" i="3"/>
  <c r="S120" i="3"/>
  <c r="U120" i="3"/>
  <c r="Q120" i="3"/>
  <c r="V120" i="3" s="1"/>
  <c r="U121" i="3"/>
  <c r="U179" i="3"/>
  <c r="Q179" i="3"/>
  <c r="V179" i="3" s="1"/>
  <c r="S179" i="3"/>
  <c r="T51" i="3"/>
  <c r="S58" i="3"/>
  <c r="S61" i="3"/>
  <c r="T74" i="3"/>
  <c r="Q77" i="3"/>
  <c r="V77" i="3" s="1"/>
  <c r="Q81" i="3"/>
  <c r="V81" i="3" s="1"/>
  <c r="T82" i="3"/>
  <c r="Q84" i="3"/>
  <c r="V84" i="3" s="1"/>
  <c r="Q88" i="3"/>
  <c r="V88" i="3" s="1"/>
  <c r="S93" i="3"/>
  <c r="U93" i="3"/>
  <c r="T120" i="3"/>
  <c r="S125" i="3"/>
  <c r="U125" i="3"/>
  <c r="Q125" i="3"/>
  <c r="V125" i="3" s="1"/>
  <c r="S135" i="3"/>
  <c r="U135" i="3"/>
  <c r="Q135" i="3"/>
  <c r="V135" i="3" s="1"/>
  <c r="Q74" i="3"/>
  <c r="V74" i="3" s="1"/>
  <c r="Q82" i="3"/>
  <c r="V82" i="3" s="1"/>
  <c r="Q93" i="3"/>
  <c r="V93" i="3" s="1"/>
  <c r="U103" i="3"/>
  <c r="Q103" i="3"/>
  <c r="V103" i="3" s="1"/>
  <c r="U105" i="3"/>
  <c r="T135" i="3"/>
  <c r="Q152" i="3"/>
  <c r="V152" i="3" s="1"/>
  <c r="U152" i="3"/>
  <c r="T105" i="3"/>
  <c r="S106" i="3"/>
  <c r="S109" i="3"/>
  <c r="S118" i="3"/>
  <c r="T121" i="3"/>
  <c r="S122" i="3"/>
  <c r="T152" i="3"/>
  <c r="T179" i="3"/>
  <c r="U193" i="3"/>
  <c r="S197" i="3"/>
  <c r="S219" i="3"/>
  <c r="U219" i="3"/>
  <c r="Q219" i="3"/>
  <c r="V219" i="3" s="1"/>
  <c r="U220" i="3"/>
  <c r="S94" i="3"/>
  <c r="S104" i="3"/>
  <c r="S107" i="3"/>
  <c r="S119" i="3"/>
  <c r="Q121" i="3"/>
  <c r="V121" i="3" s="1"/>
  <c r="S123" i="3"/>
  <c r="S134" i="3"/>
  <c r="S157" i="3"/>
  <c r="U157" i="3"/>
  <c r="Q157" i="3"/>
  <c r="V157" i="3" s="1"/>
  <c r="S209" i="3"/>
  <c r="U209" i="3"/>
  <c r="Q209" i="3"/>
  <c r="V209" i="3" s="1"/>
  <c r="U210" i="3"/>
  <c r="T219" i="3"/>
  <c r="T157" i="3"/>
  <c r="U164" i="3"/>
  <c r="Q164" i="3"/>
  <c r="V164" i="3" s="1"/>
  <c r="U200" i="3"/>
  <c r="Q200" i="3"/>
  <c r="V200" i="3" s="1"/>
  <c r="S205" i="3"/>
  <c r="U205" i="3"/>
  <c r="Q205" i="3"/>
  <c r="V205" i="3" s="1"/>
  <c r="T209" i="3"/>
  <c r="S165" i="3"/>
  <c r="S180" i="3"/>
  <c r="T193" i="3"/>
  <c r="T197" i="3"/>
  <c r="S207" i="3"/>
  <c r="T210" i="3"/>
  <c r="T220" i="3"/>
  <c r="T225" i="3"/>
  <c r="S160" i="3"/>
  <c r="S166" i="3"/>
  <c r="S196" i="3"/>
  <c r="T203" i="3"/>
  <c r="T207" i="3"/>
  <c r="S208" i="3"/>
  <c r="Q210" i="3"/>
  <c r="V210" i="3" s="1"/>
  <c r="T212" i="3"/>
  <c r="S218" i="3"/>
  <c r="Q225" i="3"/>
  <c r="V225" i="3" s="1"/>
  <c r="T226" i="3"/>
  <c r="S229" i="3"/>
  <c r="S233" i="3"/>
  <c r="Q203" i="3"/>
  <c r="V203" i="3" s="1"/>
  <c r="Q212" i="3"/>
  <c r="V212" i="3" s="1"/>
  <c r="Q226" i="3"/>
  <c r="V226" i="3" s="1"/>
  <c r="H13" i="8" l="1"/>
  <c r="I13" i="8" s="1"/>
  <c r="H10" i="8"/>
  <c r="I10" i="8" s="1"/>
  <c r="W105" i="3"/>
  <c r="H14" i="4"/>
  <c r="W44" i="3"/>
  <c r="F22" i="7"/>
  <c r="Y98" i="4"/>
  <c r="Z98" i="4" s="1"/>
  <c r="BE131" i="5"/>
  <c r="BE150" i="5" s="1"/>
  <c r="BJ150" i="5" s="1"/>
  <c r="J73" i="5"/>
  <c r="K73" i="5" s="1"/>
  <c r="I110" i="5"/>
  <c r="I148" i="5" s="1"/>
  <c r="R110" i="5"/>
  <c r="D10" i="6"/>
  <c r="H12" i="8"/>
  <c r="Q73" i="5"/>
  <c r="I6" i="4"/>
  <c r="H6" i="8"/>
  <c r="I6" i="8" s="1"/>
  <c r="D7" i="6"/>
  <c r="H9" i="8"/>
  <c r="I9" i="8" s="1"/>
  <c r="F8" i="6"/>
  <c r="I10" i="3"/>
  <c r="F7" i="6"/>
  <c r="I9" i="3"/>
  <c r="F10" i="6"/>
  <c r="I12" i="3"/>
  <c r="F11" i="6"/>
  <c r="I13" i="3"/>
  <c r="W30" i="3"/>
  <c r="X30" i="3" s="1"/>
  <c r="W51" i="3"/>
  <c r="X51" i="3" s="1"/>
  <c r="Y51" i="3" s="1"/>
  <c r="Z51" i="3" s="1"/>
  <c r="X44" i="3"/>
  <c r="Y44" i="3" s="1"/>
  <c r="Z44" i="3" s="1"/>
  <c r="W94" i="3"/>
  <c r="X94" i="3" s="1"/>
  <c r="Y94" i="3" s="1"/>
  <c r="Z94" i="3" s="1"/>
  <c r="Y75" i="3"/>
  <c r="Z75" i="3" s="1"/>
  <c r="K8" i="7" s="1"/>
  <c r="L8" i="7" s="1"/>
  <c r="G8" i="3"/>
  <c r="W134" i="3"/>
  <c r="X134" i="3" s="1"/>
  <c r="Y134" i="3" s="1"/>
  <c r="Z134" i="3" s="1"/>
  <c r="W83" i="3"/>
  <c r="X83" i="3" s="1"/>
  <c r="W107" i="4"/>
  <c r="X107" i="4" s="1"/>
  <c r="Y107" i="4" s="1"/>
  <c r="W45" i="3"/>
  <c r="X45" i="3" s="1"/>
  <c r="Y45" i="3" s="1"/>
  <c r="Z45" i="3" s="1"/>
  <c r="W104" i="3"/>
  <c r="X104" i="3" s="1"/>
  <c r="Y104" i="3" s="1"/>
  <c r="Z104" i="3" s="1"/>
  <c r="W207" i="3"/>
  <c r="X207" i="3" s="1"/>
  <c r="W135" i="4"/>
  <c r="X135" i="4" s="1"/>
  <c r="Y135" i="4" s="1"/>
  <c r="W218" i="3"/>
  <c r="X218" i="3" s="1"/>
  <c r="W122" i="3"/>
  <c r="X122" i="3" s="1"/>
  <c r="Y122" i="3" s="1"/>
  <c r="Z122" i="3" s="1"/>
  <c r="W109" i="3"/>
  <c r="X109" i="3" s="1"/>
  <c r="Y109" i="3" s="1"/>
  <c r="Z109" i="3" s="1"/>
  <c r="W118" i="3"/>
  <c r="X118" i="3" s="1"/>
  <c r="Y118" i="3" s="1"/>
  <c r="Z118" i="3" s="1"/>
  <c r="W160" i="3"/>
  <c r="X160" i="3" s="1"/>
  <c r="Y160" i="3" s="1"/>
  <c r="W76" i="3"/>
  <c r="X76" i="3" s="1"/>
  <c r="Y76" i="3" s="1"/>
  <c r="Z76" i="3" s="1"/>
  <c r="W93" i="4"/>
  <c r="X93" i="4" s="1"/>
  <c r="Y93" i="4" s="1"/>
  <c r="Z93" i="4" s="1"/>
  <c r="W90" i="4"/>
  <c r="X90" i="4" s="1"/>
  <c r="W28" i="3"/>
  <c r="X28" i="3" s="1"/>
  <c r="W229" i="3"/>
  <c r="X229" i="3" s="1"/>
  <c r="Y229" i="3" s="1"/>
  <c r="Z229" i="3" s="1"/>
  <c r="W85" i="3"/>
  <c r="X85" i="3" s="1"/>
  <c r="W107" i="3"/>
  <c r="X107" i="3" s="1"/>
  <c r="W208" i="3"/>
  <c r="X208" i="3" s="1"/>
  <c r="Y208" i="3" s="1"/>
  <c r="Z208" i="3" s="1"/>
  <c r="W233" i="3"/>
  <c r="X233" i="3" s="1"/>
  <c r="Y233" i="3" s="1"/>
  <c r="Z233" i="3" s="1"/>
  <c r="W61" i="3"/>
  <c r="X61" i="3" s="1"/>
  <c r="Y61" i="3" s="1"/>
  <c r="W29" i="3"/>
  <c r="X29" i="3" s="1"/>
  <c r="Y29" i="3" s="1"/>
  <c r="Z29" i="3" s="1"/>
  <c r="W37" i="3"/>
  <c r="X37" i="3" s="1"/>
  <c r="Y37" i="3" s="1"/>
  <c r="W79" i="3"/>
  <c r="X79" i="3" s="1"/>
  <c r="W196" i="3"/>
  <c r="X196" i="3" s="1"/>
  <c r="Y196" i="3" s="1"/>
  <c r="Z196" i="3" s="1"/>
  <c r="X105" i="3"/>
  <c r="Y105" i="3" s="1"/>
  <c r="W35" i="4"/>
  <c r="X35" i="4" s="1"/>
  <c r="W40" i="4"/>
  <c r="X40" i="4" s="1"/>
  <c r="W138" i="4"/>
  <c r="X138" i="4" s="1"/>
  <c r="Y138" i="4" s="1"/>
  <c r="W43" i="4"/>
  <c r="X43" i="4" s="1"/>
  <c r="W121" i="4"/>
  <c r="X121" i="4" s="1"/>
  <c r="Y121" i="4" s="1"/>
  <c r="Z121" i="4" s="1"/>
  <c r="W68" i="4"/>
  <c r="X68" i="4" s="1"/>
  <c r="Y68" i="4" s="1"/>
  <c r="Z68" i="4" s="1"/>
  <c r="W64" i="3"/>
  <c r="X64" i="3" s="1"/>
  <c r="Y64" i="3" s="1"/>
  <c r="Z64" i="3" s="1"/>
  <c r="W62" i="3"/>
  <c r="X62" i="3" s="1"/>
  <c r="W106" i="3"/>
  <c r="X106" i="3" s="1"/>
  <c r="Y106" i="3" s="1"/>
  <c r="W77" i="3"/>
  <c r="X77" i="3" s="1"/>
  <c r="W180" i="3"/>
  <c r="X180" i="3" s="1"/>
  <c r="Y180" i="3" s="1"/>
  <c r="Z180" i="3" s="1"/>
  <c r="W119" i="3"/>
  <c r="X119" i="3" s="1"/>
  <c r="Y119" i="3" s="1"/>
  <c r="W203" i="3"/>
  <c r="X203" i="3" s="1"/>
  <c r="W166" i="3"/>
  <c r="X166" i="3" s="1"/>
  <c r="Y166" i="3" s="1"/>
  <c r="Z166" i="3" s="1"/>
  <c r="W157" i="3"/>
  <c r="W209" i="3"/>
  <c r="X209" i="3" s="1"/>
  <c r="W193" i="3"/>
  <c r="X193" i="3" s="1"/>
  <c r="Y193" i="3" s="1"/>
  <c r="Z193" i="3" s="1"/>
  <c r="W38" i="3"/>
  <c r="X38" i="3" s="1"/>
  <c r="W123" i="3"/>
  <c r="X123" i="3" s="1"/>
  <c r="Y123" i="3" s="1"/>
  <c r="Z123" i="3" s="1"/>
  <c r="W97" i="3"/>
  <c r="X97" i="3" s="1"/>
  <c r="W223" i="3"/>
  <c r="X223" i="3" s="1"/>
  <c r="W197" i="3"/>
  <c r="W58" i="3"/>
  <c r="W33" i="3"/>
  <c r="W165" i="3"/>
  <c r="X165" i="3" s="1"/>
  <c r="W204" i="3"/>
  <c r="X204" i="3" s="1"/>
  <c r="W75" i="4"/>
  <c r="X75" i="4" s="1"/>
  <c r="Y75" i="4" s="1"/>
  <c r="Z75" i="4" s="1"/>
  <c r="W181" i="4"/>
  <c r="X181" i="4" s="1"/>
  <c r="Y181" i="4" s="1"/>
  <c r="W173" i="4"/>
  <c r="X173" i="4" s="1"/>
  <c r="W34" i="4"/>
  <c r="X34" i="4" s="1"/>
  <c r="Y34" i="4" s="1"/>
  <c r="Z34" i="4" s="1"/>
  <c r="W142" i="4"/>
  <c r="X142" i="4" s="1"/>
  <c r="W188" i="4"/>
  <c r="X188" i="4" s="1"/>
  <c r="Y188" i="4" s="1"/>
  <c r="Z188" i="4" s="1"/>
  <c r="W101" i="4"/>
  <c r="X101" i="4" s="1"/>
  <c r="Y101" i="4" s="1"/>
  <c r="Z101" i="4" s="1"/>
  <c r="W111" i="4"/>
  <c r="X111" i="4" s="1"/>
  <c r="W139" i="4"/>
  <c r="W39" i="4"/>
  <c r="X39" i="4" s="1"/>
  <c r="Y39" i="4" s="1"/>
  <c r="W157" i="4"/>
  <c r="W189" i="4"/>
  <c r="X189" i="4" s="1"/>
  <c r="W50" i="4"/>
  <c r="X50" i="4" s="1"/>
  <c r="W33" i="4"/>
  <c r="X33" i="4" s="1"/>
  <c r="W150" i="4"/>
  <c r="X150" i="4" s="1"/>
  <c r="W97" i="4"/>
  <c r="X97" i="4" s="1"/>
  <c r="Y97" i="4" s="1"/>
  <c r="Z97" i="4" s="1"/>
  <c r="W108" i="4"/>
  <c r="X108" i="4" s="1"/>
  <c r="Y108" i="4" s="1"/>
  <c r="Z108" i="4" s="1"/>
  <c r="W104" i="4"/>
  <c r="X104" i="4" s="1"/>
  <c r="Y104" i="4" s="1"/>
  <c r="Z104" i="4" s="1"/>
  <c r="W156" i="4"/>
  <c r="X156" i="4" s="1"/>
  <c r="Y156" i="4" s="1"/>
  <c r="Z156" i="4" s="1"/>
  <c r="W197" i="4"/>
  <c r="X197" i="4" s="1"/>
  <c r="Y197" i="4" s="1"/>
  <c r="Z197" i="4" s="1"/>
  <c r="X139" i="4"/>
  <c r="Y139" i="4" s="1"/>
  <c r="Z139" i="4" s="1"/>
  <c r="W32" i="4"/>
  <c r="X32" i="4" s="1"/>
  <c r="W70" i="4"/>
  <c r="X70" i="4" s="1"/>
  <c r="Y70" i="4" s="1"/>
  <c r="W143" i="4"/>
  <c r="X143" i="4" s="1"/>
  <c r="W170" i="4"/>
  <c r="X170" i="4" s="1"/>
  <c r="W133" i="4"/>
  <c r="X133" i="4" s="1"/>
  <c r="W200" i="4"/>
  <c r="X200" i="4" s="1"/>
  <c r="W113" i="4"/>
  <c r="X113" i="4" s="1"/>
  <c r="W87" i="4"/>
  <c r="W83" i="4"/>
  <c r="X83" i="4" s="1"/>
  <c r="W67" i="4"/>
  <c r="W120" i="4"/>
  <c r="X120" i="4" s="1"/>
  <c r="Y120" i="4" s="1"/>
  <c r="Z120" i="4" s="1"/>
  <c r="W96" i="4"/>
  <c r="W61" i="4"/>
  <c r="X61" i="4" s="1"/>
  <c r="Y61" i="4" s="1"/>
  <c r="W118" i="4"/>
  <c r="X118" i="4" s="1"/>
  <c r="W155" i="4"/>
  <c r="X155" i="4" s="1"/>
  <c r="W84" i="4"/>
  <c r="W106" i="4"/>
  <c r="X106" i="4" s="1"/>
  <c r="W124" i="4"/>
  <c r="X124" i="4" s="1"/>
  <c r="W175" i="4"/>
  <c r="X175" i="4" s="1"/>
  <c r="W148" i="4"/>
  <c r="X148" i="4" s="1"/>
  <c r="W136" i="4"/>
  <c r="X136" i="4" s="1"/>
  <c r="Y136" i="4" s="1"/>
  <c r="W164" i="4"/>
  <c r="X164" i="4" s="1"/>
  <c r="W201" i="4"/>
  <c r="X201" i="4" s="1"/>
  <c r="W112" i="4"/>
  <c r="X112" i="4" s="1"/>
  <c r="W187" i="4"/>
  <c r="X187" i="4" s="1"/>
  <c r="W177" i="4"/>
  <c r="X177" i="4" s="1"/>
  <c r="W198" i="4"/>
  <c r="X198" i="4" s="1"/>
  <c r="Y198" i="4" s="1"/>
  <c r="I13" i="4"/>
  <c r="D11" i="6"/>
  <c r="I10" i="4"/>
  <c r="E8" i="6" s="1"/>
  <c r="D8" i="6"/>
  <c r="W28" i="4"/>
  <c r="X28" i="4" s="1"/>
  <c r="W147" i="4"/>
  <c r="J47" i="5"/>
  <c r="G8" i="4"/>
  <c r="W103" i="4"/>
  <c r="X103" i="4" s="1"/>
  <c r="W174" i="4"/>
  <c r="X174" i="4" s="1"/>
  <c r="G17" i="4"/>
  <c r="D15" i="6" s="1"/>
  <c r="W85" i="4"/>
  <c r="X85" i="4" s="1"/>
  <c r="W48" i="4"/>
  <c r="X48" i="4" s="1"/>
  <c r="W94" i="4"/>
  <c r="X94" i="4" s="1"/>
  <c r="W196" i="4"/>
  <c r="X196" i="4" s="1"/>
  <c r="W218" i="4"/>
  <c r="X218" i="4" s="1"/>
  <c r="G11" i="4"/>
  <c r="I12" i="4"/>
  <c r="W30" i="4"/>
  <c r="X30" i="4" s="1"/>
  <c r="W69" i="4"/>
  <c r="X69" i="4" s="1"/>
  <c r="W146" i="4"/>
  <c r="X146" i="4" s="1"/>
  <c r="Y146" i="4" s="1"/>
  <c r="W63" i="4"/>
  <c r="X63" i="4" s="1"/>
  <c r="W158" i="4"/>
  <c r="X158" i="4" s="1"/>
  <c r="W71" i="4"/>
  <c r="W141" i="4"/>
  <c r="X141" i="4" s="1"/>
  <c r="W47" i="4"/>
  <c r="W95" i="4"/>
  <c r="W115" i="4"/>
  <c r="X115" i="4" s="1"/>
  <c r="W162" i="4"/>
  <c r="X162" i="4" s="1"/>
  <c r="Y162" i="4" s="1"/>
  <c r="W199" i="4"/>
  <c r="X199" i="4" s="1"/>
  <c r="W144" i="4"/>
  <c r="W182" i="4"/>
  <c r="X182" i="4" s="1"/>
  <c r="W163" i="4"/>
  <c r="W183" i="4"/>
  <c r="W202" i="4"/>
  <c r="X202" i="4" s="1"/>
  <c r="W42" i="4"/>
  <c r="W190" i="4"/>
  <c r="W27" i="4"/>
  <c r="X27" i="4" s="1"/>
  <c r="W125" i="4"/>
  <c r="X125" i="4" s="1"/>
  <c r="W134" i="4"/>
  <c r="X134" i="4" s="1"/>
  <c r="Y134" i="4" s="1"/>
  <c r="Z134" i="4" s="1"/>
  <c r="W91" i="4"/>
  <c r="X91" i="4" s="1"/>
  <c r="W140" i="4"/>
  <c r="X140" i="4" s="1"/>
  <c r="W178" i="4"/>
  <c r="W73" i="4"/>
  <c r="X73" i="4" s="1"/>
  <c r="W44" i="4"/>
  <c r="X44" i="4" s="1"/>
  <c r="W184" i="4"/>
  <c r="X184" i="4" s="1"/>
  <c r="W55" i="4"/>
  <c r="W114" i="4"/>
  <c r="X114" i="4" s="1"/>
  <c r="Y114" i="4" s="1"/>
  <c r="W72" i="4"/>
  <c r="W99" i="4"/>
  <c r="X99" i="4" s="1"/>
  <c r="Y99" i="4" s="1"/>
  <c r="W119" i="4"/>
  <c r="W151" i="4"/>
  <c r="X151" i="4" s="1"/>
  <c r="W171" i="4"/>
  <c r="X171" i="4" s="1"/>
  <c r="W186" i="4"/>
  <c r="X186" i="4" s="1"/>
  <c r="W46" i="4"/>
  <c r="X46" i="4" s="1"/>
  <c r="G11" i="3"/>
  <c r="W34" i="3"/>
  <c r="W82" i="3"/>
  <c r="X82" i="3" s="1"/>
  <c r="W93" i="3"/>
  <c r="X93" i="3" s="1"/>
  <c r="W66" i="3"/>
  <c r="X66" i="3" s="1"/>
  <c r="W48" i="3"/>
  <c r="W81" i="3"/>
  <c r="W131" i="3"/>
  <c r="W103" i="3"/>
  <c r="W152" i="3"/>
  <c r="X152" i="3" s="1"/>
  <c r="W162" i="3"/>
  <c r="X162" i="3" s="1"/>
  <c r="W219" i="3"/>
  <c r="X219" i="3" s="1"/>
  <c r="W225" i="3"/>
  <c r="X225" i="3" s="1"/>
  <c r="Y225" i="3" s="1"/>
  <c r="W74" i="3"/>
  <c r="X74" i="3" s="1"/>
  <c r="W226" i="3"/>
  <c r="X226" i="3" s="1"/>
  <c r="W220" i="3"/>
  <c r="X220" i="3" s="1"/>
  <c r="W72" i="3"/>
  <c r="X72" i="3" s="1"/>
  <c r="W63" i="3"/>
  <c r="X63" i="3" s="1"/>
  <c r="W84" i="3"/>
  <c r="W135" i="3"/>
  <c r="W164" i="3"/>
  <c r="W200" i="3"/>
  <c r="X200" i="3" s="1"/>
  <c r="W125" i="3"/>
  <c r="X125" i="3" s="1"/>
  <c r="F15" i="6"/>
  <c r="W212" i="3"/>
  <c r="W86" i="3"/>
  <c r="X86" i="3" s="1"/>
  <c r="W88" i="3"/>
  <c r="X88" i="3" s="1"/>
  <c r="W120" i="3"/>
  <c r="X120" i="3" s="1"/>
  <c r="Y120" i="3" s="1"/>
  <c r="W151" i="3"/>
  <c r="W121" i="3"/>
  <c r="W205" i="3"/>
  <c r="X205" i="3" s="1"/>
  <c r="W179" i="3"/>
  <c r="W210" i="3"/>
  <c r="X210" i="3" s="1"/>
  <c r="H8" i="8" l="1"/>
  <c r="I8" i="8" s="1"/>
  <c r="E17" i="7"/>
  <c r="Q110" i="5"/>
  <c r="BH151" i="5"/>
  <c r="BG151" i="5"/>
  <c r="H11" i="8"/>
  <c r="I12" i="8"/>
  <c r="F9" i="6"/>
  <c r="I11" i="3"/>
  <c r="G7" i="3"/>
  <c r="G14" i="3" s="1"/>
  <c r="I8" i="3"/>
  <c r="F6" i="6"/>
  <c r="Y83" i="3"/>
  <c r="Z83" i="3" s="1"/>
  <c r="Y77" i="3"/>
  <c r="Z77" i="3" s="1"/>
  <c r="Y85" i="3"/>
  <c r="Z85" i="3" s="1"/>
  <c r="X197" i="3"/>
  <c r="Y197" i="3" s="1"/>
  <c r="Z197" i="3" s="1"/>
  <c r="Y28" i="3"/>
  <c r="Z28" i="3" s="1"/>
  <c r="Z105" i="3"/>
  <c r="Y155" i="4"/>
  <c r="Z155" i="4" s="1"/>
  <c r="Y203" i="3"/>
  <c r="Z203" i="3" s="1"/>
  <c r="Y107" i="3"/>
  <c r="Z107" i="3" s="1"/>
  <c r="Z160" i="3"/>
  <c r="Z61" i="3"/>
  <c r="Y223" i="3"/>
  <c r="Z223" i="3" s="1"/>
  <c r="Y38" i="3"/>
  <c r="X157" i="3"/>
  <c r="Y157" i="3" s="1"/>
  <c r="Z70" i="4"/>
  <c r="Y33" i="4"/>
  <c r="Z33" i="4" s="1"/>
  <c r="Y133" i="4"/>
  <c r="Z133" i="4" s="1"/>
  <c r="Y118" i="4"/>
  <c r="Z118" i="4" s="1"/>
  <c r="Y111" i="4"/>
  <c r="Z111" i="4" s="1"/>
  <c r="Y142" i="4"/>
  <c r="Y165" i="3"/>
  <c r="Z165" i="3" s="1"/>
  <c r="Y97" i="3"/>
  <c r="Z97" i="3" s="1"/>
  <c r="F16" i="6"/>
  <c r="X33" i="3"/>
  <c r="Y33" i="3" s="1"/>
  <c r="Y62" i="3"/>
  <c r="Z62" i="3" s="1"/>
  <c r="X121" i="3"/>
  <c r="Y121" i="3" s="1"/>
  <c r="Z121" i="3" s="1"/>
  <c r="X58" i="3"/>
  <c r="Y58" i="3" s="1"/>
  <c r="Z225" i="3"/>
  <c r="X48" i="3"/>
  <c r="Y48" i="3" s="1"/>
  <c r="Y219" i="3"/>
  <c r="Z219" i="3" s="1"/>
  <c r="K32" i="7" s="1"/>
  <c r="L32" i="7" s="1"/>
  <c r="X34" i="3"/>
  <c r="Y34" i="3" s="1"/>
  <c r="X103" i="3"/>
  <c r="Y103" i="3" s="1"/>
  <c r="Y63" i="3"/>
  <c r="Z63" i="3" s="1"/>
  <c r="Y152" i="3"/>
  <c r="Z152" i="3" s="1"/>
  <c r="Y218" i="3"/>
  <c r="Z218" i="3" s="1"/>
  <c r="Y207" i="3"/>
  <c r="Z207" i="3" s="1"/>
  <c r="Y204" i="3"/>
  <c r="Z204" i="3" s="1"/>
  <c r="Y50" i="4"/>
  <c r="Z50" i="4" s="1"/>
  <c r="X157" i="4"/>
  <c r="Y157" i="4" s="1"/>
  <c r="Y175" i="4"/>
  <c r="Z175" i="4" s="1"/>
  <c r="Z138" i="4"/>
  <c r="Y113" i="4"/>
  <c r="Z113" i="4" s="1"/>
  <c r="Y189" i="4"/>
  <c r="Z189" i="4" s="1"/>
  <c r="Y170" i="4"/>
  <c r="Z170" i="4" s="1"/>
  <c r="Y150" i="4"/>
  <c r="Z150" i="4" s="1"/>
  <c r="Y174" i="4"/>
  <c r="Z174" i="4" s="1"/>
  <c r="Y200" i="4"/>
  <c r="Z200" i="4" s="1"/>
  <c r="E35" i="7" s="1"/>
  <c r="F35" i="7" s="1"/>
  <c r="Y40" i="4"/>
  <c r="Z40" i="4" s="1"/>
  <c r="Y83" i="4"/>
  <c r="Z83" i="4" s="1"/>
  <c r="Y143" i="4"/>
  <c r="Z143" i="4" s="1"/>
  <c r="Z135" i="4"/>
  <c r="Y27" i="4"/>
  <c r="Z27" i="4" s="1"/>
  <c r="Y187" i="4"/>
  <c r="Z187" i="4" s="1"/>
  <c r="Y164" i="4"/>
  <c r="Z164" i="4" s="1"/>
  <c r="Y124" i="4"/>
  <c r="Z124" i="4" s="1"/>
  <c r="X87" i="4"/>
  <c r="X96" i="4"/>
  <c r="Y96" i="4" s="1"/>
  <c r="X67" i="4"/>
  <c r="Y67" i="4" s="1"/>
  <c r="Z67" i="4" s="1"/>
  <c r="X47" i="4"/>
  <c r="Y47" i="4" s="1"/>
  <c r="Z47" i="4" s="1"/>
  <c r="X84" i="4"/>
  <c r="Y84" i="4" s="1"/>
  <c r="X144" i="4"/>
  <c r="Y144" i="4" s="1"/>
  <c r="Z144" i="4" s="1"/>
  <c r="Y115" i="4"/>
  <c r="Z115" i="4" s="1"/>
  <c r="Z61" i="4"/>
  <c r="Y218" i="4"/>
  <c r="Z218" i="4" s="1"/>
  <c r="Y112" i="4"/>
  <c r="Z112" i="4" s="1"/>
  <c r="Y125" i="4"/>
  <c r="Z125" i="4" s="1"/>
  <c r="Z39" i="4"/>
  <c r="Y177" i="4"/>
  <c r="Z177" i="4" s="1"/>
  <c r="Y196" i="4"/>
  <c r="Z198" i="4"/>
  <c r="I11" i="4"/>
  <c r="E9" i="6" s="1"/>
  <c r="D9" i="6"/>
  <c r="G7" i="4"/>
  <c r="D6" i="6"/>
  <c r="Y28" i="4"/>
  <c r="X147" i="4"/>
  <c r="K47" i="5"/>
  <c r="J110" i="5"/>
  <c r="K110" i="5" s="1"/>
  <c r="Y30" i="4"/>
  <c r="Y48" i="4"/>
  <c r="Z48" i="4" s="1"/>
  <c r="Y184" i="4"/>
  <c r="Z184" i="4" s="1"/>
  <c r="Y103" i="4"/>
  <c r="Z103" i="4" s="1"/>
  <c r="Y91" i="4"/>
  <c r="Z91" i="4" s="1"/>
  <c r="Y94" i="4"/>
  <c r="Z94" i="4" s="1"/>
  <c r="Z162" i="4"/>
  <c r="Z136" i="4"/>
  <c r="X42" i="4"/>
  <c r="Y42" i="4" s="1"/>
  <c r="Z42" i="4" s="1"/>
  <c r="Z114" i="4"/>
  <c r="Z107" i="4"/>
  <c r="Y73" i="4"/>
  <c r="Z73" i="4" s="1"/>
  <c r="X190" i="4"/>
  <c r="Y190" i="4" s="1"/>
  <c r="Y32" i="4"/>
  <c r="Z32" i="4" s="1"/>
  <c r="Z181" i="4"/>
  <c r="X163" i="4"/>
  <c r="Y186" i="4"/>
  <c r="Z186" i="4" s="1"/>
  <c r="Y46" i="4"/>
  <c r="Z46" i="4" s="1"/>
  <c r="Y85" i="4"/>
  <c r="Z85" i="4" s="1"/>
  <c r="Y171" i="4"/>
  <c r="Z171" i="4" s="1"/>
  <c r="Y63" i="4"/>
  <c r="Z63" i="4" s="1"/>
  <c r="Y158" i="4"/>
  <c r="Z158" i="4" s="1"/>
  <c r="Y43" i="4"/>
  <c r="Z43" i="4" s="1"/>
  <c r="Z146" i="4"/>
  <c r="E26" i="7" s="1"/>
  <c r="F26" i="7" s="1"/>
  <c r="X72" i="4"/>
  <c r="Y72" i="4" s="1"/>
  <c r="Y141" i="4"/>
  <c r="Z141" i="4" s="1"/>
  <c r="Y35" i="4"/>
  <c r="Z35" i="4" s="1"/>
  <c r="X119" i="4"/>
  <c r="X55" i="4"/>
  <c r="Y55" i="4" s="1"/>
  <c r="Z55" i="4" s="1"/>
  <c r="Y151" i="4"/>
  <c r="Z151" i="4" s="1"/>
  <c r="Y44" i="4"/>
  <c r="Z44" i="4" s="1"/>
  <c r="G18" i="4"/>
  <c r="X178" i="4"/>
  <c r="Y178" i="4" s="1"/>
  <c r="X71" i="4"/>
  <c r="Y71" i="4" s="1"/>
  <c r="X95" i="4"/>
  <c r="Y95" i="4" s="1"/>
  <c r="Y106" i="4"/>
  <c r="Y140" i="4"/>
  <c r="Z140" i="4" s="1"/>
  <c r="Y182" i="4"/>
  <c r="Z182" i="4" s="1"/>
  <c r="Y201" i="4"/>
  <c r="Z201" i="4" s="1"/>
  <c r="X183" i="4"/>
  <c r="Y183" i="4" s="1"/>
  <c r="Z99" i="4"/>
  <c r="Y173" i="4"/>
  <c r="Z173" i="4" s="1"/>
  <c r="Y202" i="4"/>
  <c r="Z202" i="4" s="1"/>
  <c r="Y148" i="4"/>
  <c r="Z148" i="4" s="1"/>
  <c r="Y199" i="4"/>
  <c r="Z199" i="4" s="1"/>
  <c r="Y69" i="4"/>
  <c r="Z69" i="4" s="1"/>
  <c r="Y90" i="4"/>
  <c r="Z90" i="4" s="1"/>
  <c r="Y93" i="3"/>
  <c r="Z93" i="3" s="1"/>
  <c r="Y86" i="3"/>
  <c r="Z86" i="3" s="1"/>
  <c r="Y74" i="3"/>
  <c r="Z74" i="3" s="1"/>
  <c r="Y162" i="3"/>
  <c r="Z162" i="3" s="1"/>
  <c r="X135" i="3"/>
  <c r="Y135" i="3" s="1"/>
  <c r="Z135" i="3" s="1"/>
  <c r="X131" i="3"/>
  <c r="Y131" i="3" s="1"/>
  <c r="Y88" i="3"/>
  <c r="Z88" i="3" s="1"/>
  <c r="Y220" i="3"/>
  <c r="Z220" i="3" s="1"/>
  <c r="Y82" i="3"/>
  <c r="Z82" i="3" s="1"/>
  <c r="X84" i="3"/>
  <c r="Y30" i="3"/>
  <c r="Z30" i="3" s="1"/>
  <c r="Y200" i="3"/>
  <c r="Z200" i="3" s="1"/>
  <c r="Y125" i="3"/>
  <c r="Z125" i="3" s="1"/>
  <c r="Y66" i="3"/>
  <c r="Z66" i="3" s="1"/>
  <c r="Z37" i="3"/>
  <c r="Y209" i="3"/>
  <c r="Z209" i="3" s="1"/>
  <c r="Z120" i="3"/>
  <c r="Y72" i="3"/>
  <c r="Y210" i="3"/>
  <c r="Z210" i="3" s="1"/>
  <c r="Y79" i="3"/>
  <c r="Z79" i="3" s="1"/>
  <c r="X151" i="3"/>
  <c r="Y151" i="3" s="1"/>
  <c r="Z119" i="3"/>
  <c r="Z106" i="3"/>
  <c r="Y226" i="3"/>
  <c r="Z226" i="3" s="1"/>
  <c r="X81" i="3"/>
  <c r="Y81" i="3" s="1"/>
  <c r="Y205" i="3"/>
  <c r="Z205" i="3" s="1"/>
  <c r="X179" i="3"/>
  <c r="Y179" i="3" s="1"/>
  <c r="Z179" i="3" s="1"/>
  <c r="X212" i="3"/>
  <c r="Y212" i="3" s="1"/>
  <c r="X164" i="3"/>
  <c r="D16" i="6" l="1"/>
  <c r="G14" i="4"/>
  <c r="I14" i="4" s="1"/>
  <c r="E12" i="6" s="1"/>
  <c r="H7" i="8"/>
  <c r="I7" i="8" s="1"/>
  <c r="I11" i="8"/>
  <c r="F12" i="6"/>
  <c r="I14" i="3"/>
  <c r="F5" i="6"/>
  <c r="I7" i="3"/>
  <c r="K16" i="7"/>
  <c r="L16" i="7" s="1"/>
  <c r="E16" i="7"/>
  <c r="F16" i="7" s="1"/>
  <c r="Z157" i="3"/>
  <c r="Z33" i="3"/>
  <c r="K6" i="7" s="1"/>
  <c r="L6" i="7" s="1"/>
  <c r="E7" i="7"/>
  <c r="F7" i="7" s="1"/>
  <c r="Z142" i="4"/>
  <c r="E24" i="7" s="1"/>
  <c r="F24" i="7" s="1"/>
  <c r="Z196" i="4"/>
  <c r="E33" i="7" s="1"/>
  <c r="F33" i="7" s="1"/>
  <c r="F23" i="7"/>
  <c r="Z28" i="4"/>
  <c r="E6" i="7" s="1"/>
  <c r="F6" i="7" s="1"/>
  <c r="Z106" i="4"/>
  <c r="E19" i="7" s="1"/>
  <c r="F19" i="7" s="1"/>
  <c r="Y147" i="4"/>
  <c r="Z147" i="4" s="1"/>
  <c r="Z72" i="3"/>
  <c r="K15" i="7" s="1"/>
  <c r="L15" i="7" s="1"/>
  <c r="Z58" i="3"/>
  <c r="K12" i="7" s="1"/>
  <c r="L12" i="7" s="1"/>
  <c r="K21" i="7"/>
  <c r="L21" i="7" s="1"/>
  <c r="Z103" i="3"/>
  <c r="Z48" i="3"/>
  <c r="Z81" i="3"/>
  <c r="K17" i="7" s="1"/>
  <c r="L17" i="7" s="1"/>
  <c r="K7" i="7"/>
  <c r="L7" i="7" s="1"/>
  <c r="Z157" i="4"/>
  <c r="Z178" i="4"/>
  <c r="E12" i="7"/>
  <c r="F12" i="7" s="1"/>
  <c r="E8" i="7"/>
  <c r="F8" i="7" s="1"/>
  <c r="E20" i="7"/>
  <c r="F20" i="7" s="1"/>
  <c r="E5" i="7"/>
  <c r="F5" i="7" s="1"/>
  <c r="E25" i="7"/>
  <c r="F25" i="7" s="1"/>
  <c r="Y163" i="4"/>
  <c r="Z163" i="4" s="1"/>
  <c r="E30" i="7" s="1"/>
  <c r="F30" i="7" s="1"/>
  <c r="Y87" i="4"/>
  <c r="Z87" i="4" s="1"/>
  <c r="E10" i="7"/>
  <c r="F10" i="7" s="1"/>
  <c r="Z183" i="4"/>
  <c r="E34" i="7"/>
  <c r="F34" i="7" s="1"/>
  <c r="E11" i="7"/>
  <c r="F11" i="7" s="1"/>
  <c r="Z84" i="4"/>
  <c r="Z190" i="4"/>
  <c r="E31" i="7"/>
  <c r="F31" i="7" s="1"/>
  <c r="Z96" i="4"/>
  <c r="I7" i="4"/>
  <c r="E5" i="6" s="1"/>
  <c r="D5" i="6"/>
  <c r="Z72" i="4"/>
  <c r="Y119" i="4"/>
  <c r="Z119" i="4" s="1"/>
  <c r="Z71" i="4"/>
  <c r="Z95" i="4"/>
  <c r="Z30" i="4"/>
  <c r="G19" i="4"/>
  <c r="Z34" i="3"/>
  <c r="Y84" i="3"/>
  <c r="Z84" i="3" s="1"/>
  <c r="K14" i="7" s="1"/>
  <c r="L14" i="7" s="1"/>
  <c r="Z131" i="3"/>
  <c r="Y164" i="3"/>
  <c r="Z164" i="3" s="1"/>
  <c r="G19" i="3"/>
  <c r="Z212" i="3"/>
  <c r="Z151" i="3"/>
  <c r="D12" i="6" l="1"/>
  <c r="H14" i="8"/>
  <c r="I14" i="8" s="1"/>
  <c r="D17" i="6"/>
  <c r="H19" i="8"/>
  <c r="I19" i="8" s="1"/>
  <c r="F17" i="6"/>
  <c r="I19" i="3"/>
  <c r="E13" i="7"/>
  <c r="F13" i="7" s="1"/>
  <c r="E27" i="7"/>
  <c r="F27" i="7" s="1"/>
  <c r="G20" i="3"/>
  <c r="G20" i="4"/>
  <c r="G21" i="4"/>
  <c r="G21" i="3"/>
  <c r="I21" i="3" s="1"/>
  <c r="D19" i="6" l="1"/>
  <c r="H21" i="8"/>
  <c r="I21" i="8" s="1"/>
  <c r="D18" i="6"/>
  <c r="H20" i="8"/>
  <c r="I20" i="8" s="1"/>
  <c r="F18" i="6"/>
  <c r="I20" i="3"/>
  <c r="G22" i="3"/>
  <c r="I22" i="3" s="1"/>
  <c r="F19" i="6"/>
  <c r="G22" i="4"/>
  <c r="G23" i="4" s="1"/>
  <c r="D21" i="6" s="1"/>
  <c r="G23" i="3" l="1"/>
  <c r="F20" i="6"/>
  <c r="D20" i="6"/>
  <c r="F21" i="6" l="1"/>
  <c r="I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67" authorId="0" shapeId="0" xr:uid="{139651DC-BB7B-4FE7-AAFD-6CE971DBAA45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áður 450 íbúðir en búið er að draga frá íbúðir á þegar ákvörðuðum reitum (Brynjureit o.s.frv.)</t>
        </r>
      </text>
    </comment>
    <comment ref="G72" authorId="0" shapeId="0" xr:uid="{CDD98F0E-14FE-4627-8A51-91362D52605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12 Brúttó, 9 nettó</t>
        </r>
      </text>
    </comment>
    <comment ref="G78" authorId="0" shapeId="0" xr:uid="{BAEE82F8-562C-4EBB-B34A-6D3C28E9D6E9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Búið að draga frá 49 íbúðir vegna Snorrabrautar 58-60</t>
        </r>
      </text>
    </comment>
    <comment ref="G91" authorId="0" shapeId="0" xr:uid="{08CC0D87-0533-4084-912C-1FC6C71E6DD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Slump</t>
        </r>
      </text>
    </comment>
    <comment ref="Z94" authorId="0" shapeId="0" xr:uid="{BDD0FAB5-DAB5-4865-AB85-36E6D8F54E9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91 íbúð í fyrsta áfanga</t>
        </r>
      </text>
    </comment>
    <comment ref="G110" authorId="0" shapeId="0" xr:uid="{8299E0A1-9EBE-4D5A-9E89-DF02563EEB9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áður 275 en búið er að draga frá íbúðir á þegar ákvörðuðum reitum (Borgartún 34-36 t.d.)
</t>
        </r>
      </text>
    </comment>
    <comment ref="J116" authorId="0" shapeId="0" xr:uid="{AEF342D0-2D48-4F34-8123-F4C605D1C76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42 á I reit og 30 á F reit</t>
        </r>
      </text>
    </comment>
    <comment ref="Z116" authorId="0" shapeId="0" xr:uid="{7A0E3018-83C8-4124-9E4C-017ADF4404A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30 íbúðir á F-reit gætu komið hér ef byrjað verður 2022</t>
        </r>
      </text>
    </comment>
    <comment ref="G129" authorId="0" shapeId="0" xr:uid="{F4E02748-189C-4123-9EE9-34ABD65A0B55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51 íbúðir hafa bæst við DSK frá upphaflegu.</t>
        </r>
      </text>
    </comment>
    <comment ref="Z129" authorId="0" shapeId="0" xr:uid="{BFB7E894-B393-43F6-908E-4FA30D2B287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63 íbúðir sem gætu komið hér ef farið af stað 2022</t>
        </r>
      </text>
    </comment>
    <comment ref="G130" authorId="0" shapeId="0" xr:uid="{C1B0F442-EBAB-4B8A-9772-4114CB95E0E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776</t>
        </r>
      </text>
    </comment>
    <comment ref="Z130" authorId="0" shapeId="0" xr:uid="{883DAA82-A5BC-4125-87B3-22EA4780860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G.r.f. að  Kleppsmýrarvegur 6-8 (50 íbúðir) og  Skektuvogur 1 (90 íbúðir) seljist seint og komi ekki fyrr en eftir 2024. </t>
        </r>
      </text>
    </comment>
    <comment ref="Y162" authorId="0" shapeId="0" xr:uid="{F2AFD8B7-AD81-43D0-93CF-6CBB0FDBF07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Gjúkarbryggja 4</t>
        </r>
      </text>
    </comment>
    <comment ref="Z162" authorId="0" shapeId="0" xr:uid="{8119BAB7-55E2-4160-95A7-322DAC7E31B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Gjúkarbryggja 6 og 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43" authorId="0" shapeId="0" xr:uid="{2FD5DF71-F9F6-4A44-B021-0BF00FA47BE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Án randbyggðar LSH
Án hverfastöðvarlóðarinnar
Sæmundargata 19
Bjargargata 3
Ingunnargata 1
Ingunnargata 3
Ingunnargata 5
</t>
        </r>
      </text>
    </comment>
    <comment ref="G45" authorId="0" shapeId="0" xr:uid="{64EA5E24-EC23-4990-8BEA-56F7F4B7EDC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Ágiskuð tala, óskað eftir ítarlegra mati frá HS</t>
        </r>
      </text>
    </comment>
    <comment ref="G66" authorId="0" shapeId="0" xr:uid="{6B71335E-C9AB-48E3-B704-10DF956BEBF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Miðborg (M1a-M1b) skv. verklýsingu að ASK breytingu: 140 þúsund fm. Búið er að draga frá heimilað byggingarmagn sem skilgreint er ítarlegar í þessu skjali</t>
        </r>
      </text>
    </comment>
    <comment ref="G81" authorId="0" shapeId="0" xr:uid="{9FE3E43B-DBCA-4837-B678-DA4488BE92D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1. áfangi er samtals 97.500 fm. skv. DSK</t>
        </r>
      </text>
    </comment>
    <comment ref="G84" authorId="0" shapeId="0" xr:uid="{3A342457-A720-420E-BED8-F1A48D23DCCA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Ekki nákvæmt tala</t>
        </r>
      </text>
    </comment>
    <comment ref="G88" authorId="0" shapeId="0" xr:uid="{14301790-A8D2-46F6-8D24-DA9406E114D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M2a-Msb: 10.000 fm. Búið er að draga frá magn á skigreindum reitum innan M2a-M2b</t>
        </r>
      </text>
    </comment>
    <comment ref="G104" authorId="0" shapeId="0" xr:uid="{54AEEFED-0669-4B21-8479-6E05F420CC0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G105" authorId="0" shapeId="0" xr:uid="{F6ABF06B-A223-482D-9186-B53B155F1D4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G106" authorId="0" shapeId="0" xr:uid="{9650AA65-B422-4202-8CC5-E439A47EEAB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Sem stendur er áætlað að eldra fjarlægt atvinnuhúsnæði núlli út nýtt</t>
        </r>
      </text>
    </comment>
    <comment ref="G107" authorId="0" shapeId="0" xr:uid="{CDF61855-83B3-422C-B744-34E4A2B2A5E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Sem stendur er áætlað að eldra fjarlægt atvinnuhúsnæði núlli út nýtt</t>
        </r>
      </text>
    </comment>
    <comment ref="G122" authorId="0" shapeId="0" xr:uid="{44025527-C8C5-4835-9997-FC0944507D06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Hugmyndir um uppbyggingu íþróttamannvirkja í Laugardal</t>
        </r>
      </text>
    </comment>
    <comment ref="G123" authorId="0" shapeId="0" xr:uid="{1C3E6421-ABE6-4500-BCFD-6EB9C119BFA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Lækkað úr 30.000 fm í 3.000 fm. Mögulega leikskóli?</t>
        </r>
      </text>
    </comment>
    <comment ref="G126" authorId="0" shapeId="0" xr:uid="{6BDDF67F-2CA4-4180-9EDF-5BBE0476243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Nettóaukning er um núll (3850 fm nýbyggingar, 3750 fm rifið)</t>
        </r>
      </text>
    </comment>
    <comment ref="G133" authorId="0" shapeId="0" xr:uid="{08465520-7979-43E1-8D63-AF1D86BA2EF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Lækkuð úr 36.344</t>
        </r>
      </text>
    </comment>
    <comment ref="G136" authorId="0" shapeId="0" xr:uid="{2DF4DF18-0ED2-4C3F-B579-1D2A78360E1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Nettóaukning áætluð 0. 7000 fm nýtt húsnæði, 7000 fm rifið húsnæði</t>
        </r>
      </text>
    </comment>
    <comment ref="G151" authorId="0" shapeId="0" xr:uid="{6DA09770-17AA-4114-8BF4-C86DFD6FACCA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G152" authorId="0" shapeId="0" xr:uid="{3E3840CA-4A84-4172-BE32-0936EF3AACF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Einungis íbúaþétting byggðar? USK staðfesti</t>
        </r>
      </text>
    </comment>
    <comment ref="G154" authorId="0" shapeId="0" xr:uid="{C1C06285-2C88-47A1-8145-9588832A2CA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Ármúli 31 (6.300 fm) fjarlægður</t>
        </r>
      </text>
    </comment>
    <comment ref="G158" authorId="0" shapeId="0" xr:uid="{C4363273-674E-49F8-ADB0-9D84C3D8C2B7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Áætluð nettóaukning. Skv. ASK nr. 31: 60.000 fm en rífa þarf 10.000</t>
        </r>
      </text>
    </comment>
    <comment ref="G159" authorId="0" shapeId="0" xr:uid="{CF2637F6-2E7B-4F17-94C4-B29C5FEC77E6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Grunnskólar (x2)</t>
        </r>
      </text>
    </comment>
    <comment ref="G162" authorId="0" shapeId="0" xr:uid="{3B80A754-497B-4952-B1B2-0CCAB660DE9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Nettóaukning áætluð 0</t>
        </r>
      </text>
    </comment>
    <comment ref="D179" authorId="0" shapeId="0" xr:uid="{A05E4547-048B-4514-835F-BC068DF1909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Ath. hjá Haraldi, er matið ekki huglægt, fremur en þegar skilgreindar heimildir í DSK?</t>
        </r>
      </text>
    </comment>
    <comment ref="G179" authorId="0" shapeId="0" xr:uid="{7814B74C-C906-43A5-B844-ED06F08848B0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áætluð tala úr mati á Atvinnuhúsnæði á höfuðbsv.</t>
        </r>
      </text>
    </comment>
    <comment ref="G203" authorId="0" shapeId="0" xr:uid="{5B8B6678-B7D9-4D0D-860A-919B545DA10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Einungis íbúaþétting byggðar? USK staðfesti</t>
        </r>
      </text>
    </comment>
    <comment ref="G204" authorId="0" shapeId="0" xr:uid="{0AA12B67-88D0-4558-8ED0-A0825CF1B9B5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Einungis íbúaþétting byggðar? USK staðfesti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63" authorId="0" shapeId="0" xr:uid="{B646700E-7FBD-4A59-B1BE-816B36188C09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áður 450 íbúðir en búið er að draga frá íbúðir á þegar ákvörðuðum reitum (Brynjureit o.s.frv.)</t>
        </r>
      </text>
    </comment>
    <comment ref="G73" authorId="0" shapeId="0" xr:uid="{29F54AB1-547F-4481-B9B6-D4BBB5368AD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Búið að draga frá 49 íbúðir vegna Snorrabrautar 58-60</t>
        </r>
      </text>
    </comment>
    <comment ref="C98" authorId="0" shapeId="0" xr:uid="{9A8E82F9-A167-4DA5-9309-F458B6F1B04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Mögulega eru íbúðir á útleið af þessum reit</t>
        </r>
      </text>
    </comment>
    <comment ref="G99" authorId="0" shapeId="0" xr:uid="{1ACD7C5B-0293-4F98-B3CC-68FD306BDA3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Var áður 275 en búið er að draga frá íbúðir á þegar ákvörðuðum reitum (Borgartún 34-36 t.d.)
</t>
        </r>
      </text>
    </comment>
    <comment ref="G116" authorId="0" shapeId="0" xr:uid="{3B7A0E8D-DE62-4360-934D-D821AE1810C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Samkvæmt nýjustu skilmálabreytingum í DSK</t>
        </r>
      </text>
    </comment>
    <comment ref="G117" authorId="0" shapeId="0" xr:uid="{CCB8A4AC-9C43-4202-836A-4F9A06E383B7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387 eða 776?</t>
        </r>
      </text>
    </comment>
    <comment ref="J117" authorId="0" shapeId="0" xr:uid="{7A950B0F-B97F-4B64-9EE0-1B9202E1068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Þarf að vera minnst 107 (16+91)</t>
        </r>
      </text>
    </comment>
    <comment ref="Z117" authorId="0" shapeId="0" xr:uid="{C0EA2329-963F-4384-AA25-E56E4879D40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52 íbúðir settar eftir tímabilið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H41" authorId="0" shapeId="0" xr:uid="{6BB6B5B2-FB51-469C-B3FF-5034A5B557A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Án randbyggðar LSH
Án hverfastöðvarlóðarinnar
Sæmundargata 19
Bjargargata 3
Ingunnargata 1
Ingunnargata 3
Ingunnargata 5
</t>
        </r>
      </text>
    </comment>
    <comment ref="H43" authorId="0" shapeId="0" xr:uid="{40B3CC41-7F50-48C4-AFFE-E711818E125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Ágiskuð tala, óskað eftir ítarlegra mati frá HS</t>
        </r>
      </text>
    </comment>
    <comment ref="H63" authorId="0" shapeId="0" xr:uid="{9E0B5ED2-ABF6-4A97-AAF7-06207EDBBC7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Miðborg (M1a-M1b) skv. verklýsingu að ASK breytingu: 140 þúsund fm. Búið er að draga frá heimilt byggingarmagn sem skilgreint er ítarlegar í þessu skjali</t>
        </r>
      </text>
    </comment>
    <comment ref="H77" authorId="0" shapeId="0" xr:uid="{C5457926-0511-4FEF-93B4-5F182D0C50F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1. áfangi er samtals 97.500 fm. skv. DSK</t>
        </r>
      </text>
    </comment>
    <comment ref="H80" authorId="0" shapeId="0" xr:uid="{7061C9A9-9088-4960-BD67-BA091D589BF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Ekki nákvæmt tala</t>
        </r>
      </text>
    </comment>
    <comment ref="H84" authorId="0" shapeId="0" xr:uid="{E7C14093-064C-4FAA-892F-C132DB923A0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M2a-Msb: 10.000 fm. Búið er að draga frá magn á skigreindum reitum innan M2a-M2b</t>
        </r>
      </text>
    </comment>
    <comment ref="H85" authorId="0" shapeId="0" xr:uid="{4B394BE0-6936-43AF-A130-9B175E2410A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Áætluð nettóbreyting 0, vegna niðurrifs núv. húsnæðis</t>
        </r>
      </text>
    </comment>
    <comment ref="H94" authorId="0" shapeId="0" xr:uid="{55F93225-E05C-49CC-BF19-12A2B46B192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H95" authorId="0" shapeId="0" xr:uid="{83AADDC8-F9FB-4663-8081-8EB80B5EF9E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H96" authorId="0" shapeId="0" xr:uid="{18709F02-620F-4CC3-8191-F8483A17FBC5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Sem stendur er áætlað að eldra fjarlægt atvinnuhúsnæði núlli út nýtt</t>
        </r>
      </text>
    </comment>
    <comment ref="H97" authorId="0" shapeId="0" xr:uid="{B191A74C-101B-4431-BA97-FBD6585A89C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Sem stendur er áætlað að eldra fjarlægt atvinnuhúsnæði núlli út nýtt</t>
        </r>
      </text>
    </comment>
    <comment ref="H115" authorId="0" shapeId="0" xr:uid="{A24F7312-4267-41D7-A3E2-6196C7AA8B39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Nettóaukning er um núll (3850 fm nýbyggingar, 3750 fm rifið)</t>
        </r>
      </text>
    </comment>
    <comment ref="H119" authorId="0" shapeId="0" xr:uid="{4F3C6028-697E-46D3-B2D9-988936D90B3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H125" authorId="0" shapeId="0" xr:uid="{D3E10577-A4A9-40EC-8613-CFE39643B63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Nettóaukning áætluð 0. 7000 fm nýtt húsnæði, 7000 fm rifið húsnæði</t>
        </r>
      </text>
    </comment>
    <comment ref="H139" authorId="0" shapeId="0" xr:uid="{81491467-A7F0-48D0-A60A-DF4FEE7652C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þumalputtareglan 23 fm af V&amp;S og sértæku húsnæði pr. íbúa (10 fm pr. íbúa)</t>
        </r>
      </text>
    </comment>
    <comment ref="H140" authorId="0" shapeId="0" xr:uid="{F596DF54-5A4B-4237-9D6B-27238FAAEFF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Einungis íbúaþétting byggðar? USK staðfesti</t>
        </r>
      </text>
    </comment>
    <comment ref="H142" authorId="0" shapeId="0" xr:uid="{5ADA8D30-DBAE-4773-A974-AAEB1A06D777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Ármúli 31 (6.300 fm) fjarlægður</t>
        </r>
      </text>
    </comment>
    <comment ref="H146" authorId="0" shapeId="0" xr:uid="{89CC28B7-8ACC-402B-B30F-3CF64C6F4C7A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Áætluð nettóaukning. Skv. ASK nr. 31: 60.000 fm en rífa þarf 10.000</t>
        </r>
      </text>
    </comment>
    <comment ref="H147" authorId="0" shapeId="0" xr:uid="{74F49FEC-E66E-4AEA-B3A1-A7B8C1C9081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Grunnskólar (x2)</t>
        </r>
      </text>
    </comment>
    <comment ref="H150" authorId="0" shapeId="0" xr:uid="{636DE44E-AC69-492E-B4C3-4226B83DA67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Nettóaukning áætluð 0</t>
        </r>
      </text>
    </comment>
    <comment ref="E166" authorId="0" shapeId="0" xr:uid="{60076B12-75F1-4C72-8822-C488A653FF35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Ath. hjá Haraldi, er matið ekki huglægt, fremur en þegar skilgreindar heimildir í DSK?</t>
        </r>
      </text>
    </comment>
    <comment ref="H166" authorId="0" shapeId="0" xr:uid="{1833F371-F66A-4069-AD66-D2362A3AD65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Notuð áætluð tala úr mati á Atvinnuhúsnæði á höfuðbsv.</t>
        </r>
      </text>
    </comment>
    <comment ref="H188" authorId="0" shapeId="0" xr:uid="{8BF5F7F1-C7F5-4BF0-8E6F-49CD4AF7467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Einungis íbúaþétting byggðar? USK staðfesti</t>
        </r>
      </text>
    </comment>
    <comment ref="H189" authorId="0" shapeId="0" xr:uid="{4FF77D11-4365-4442-BC86-F29DE952CEC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Einungis íbúaþétting byggðar? USK staðfesti</t>
        </r>
      </text>
    </comment>
  </commentList>
</comments>
</file>

<file path=xl/sharedStrings.xml><?xml version="1.0" encoding="utf-8"?>
<sst xmlns="http://schemas.openxmlformats.org/spreadsheetml/2006/main" count="2856" uniqueCount="540">
  <si>
    <t>Íbúðir í Reykjavík</t>
  </si>
  <si>
    <t>Skipulags- og byggingarleg staða</t>
  </si>
  <si>
    <t>Nr.</t>
  </si>
  <si>
    <t>Verkefni</t>
  </si>
  <si>
    <t>Staða</t>
  </si>
  <si>
    <t>Borgarhluti</t>
  </si>
  <si>
    <t>Skólahverfi</t>
  </si>
  <si>
    <t>Vesturbugt</t>
  </si>
  <si>
    <t>Vesturbær</t>
  </si>
  <si>
    <t>Vesturbæjarskóli</t>
  </si>
  <si>
    <t>Héðinsreitur S11</t>
  </si>
  <si>
    <t>Héðinsreitur V64</t>
  </si>
  <si>
    <t>Keilugrandi 1</t>
  </si>
  <si>
    <t>Landhelgisgæslureitur</t>
  </si>
  <si>
    <t>Steindórsreitur</t>
  </si>
  <si>
    <t>KR-svæði</t>
  </si>
  <si>
    <t>Grandaskóli</t>
  </si>
  <si>
    <t>Ægisíða 102 (B)</t>
  </si>
  <si>
    <t>Hagaskóli</t>
  </si>
  <si>
    <t>Grandi-Fiskislóð</t>
  </si>
  <si>
    <t>Grandagarður Alliance hús, hótel</t>
  </si>
  <si>
    <t>Línbergsreitur</t>
  </si>
  <si>
    <t>HÍ-svæði-vestan Suðurgötu</t>
  </si>
  <si>
    <t>HÍ-austan Suðurgötu</t>
  </si>
  <si>
    <t>Vatnsmýri</t>
  </si>
  <si>
    <t>Vísindagarðar</t>
  </si>
  <si>
    <t>Áhaldahúslóð</t>
  </si>
  <si>
    <t>Vatnsmýri (svæði nr. 19, 18, 17 sbr. AR) - flugvöllur aflagður</t>
  </si>
  <si>
    <t>Fluggarðar</t>
  </si>
  <si>
    <t>Skerjabyggð I</t>
  </si>
  <si>
    <t>Skerjabyggð II</t>
  </si>
  <si>
    <t>Öskjuhlíð-Nauthólsvegur nemendagarðar</t>
  </si>
  <si>
    <t>Hlíðaskóli</t>
  </si>
  <si>
    <t>Öskjuhlíð-Nauthólsvegur afgangur</t>
  </si>
  <si>
    <t>Öskjuhlíð-Nauthólsvegur HR</t>
  </si>
  <si>
    <t>Loftleiðareitur</t>
  </si>
  <si>
    <t>Hlíðarendi C</t>
  </si>
  <si>
    <t>Hlíðarendi D</t>
  </si>
  <si>
    <t>Hlíðarendi E</t>
  </si>
  <si>
    <t>Hlíðarendi F</t>
  </si>
  <si>
    <t>Austurhöfn</t>
  </si>
  <si>
    <t>Miðborg</t>
  </si>
  <si>
    <t>Hafnartorg</t>
  </si>
  <si>
    <t>Alþingisreitur</t>
  </si>
  <si>
    <t>Stjórnarráðsreitur</t>
  </si>
  <si>
    <t>Stjórnarráð viðbygging</t>
  </si>
  <si>
    <t>Miðborg - Kvos-Miðbakki</t>
  </si>
  <si>
    <t>Nýlendureitur</t>
  </si>
  <si>
    <t>Miðborg -Laugavegur (afgangur)</t>
  </si>
  <si>
    <t>Austurbæjarskóli</t>
  </si>
  <si>
    <t>Brynjureitur</t>
  </si>
  <si>
    <t>Barónsreitur - Hverfisgata 85-93</t>
  </si>
  <si>
    <t>Hverfisgata 94-96</t>
  </si>
  <si>
    <t>Barónsreitur-Hverfisgata 88-92</t>
  </si>
  <si>
    <t>Barónsreitur-Skúlagata 26-Vitastígur 3</t>
  </si>
  <si>
    <t>Frakkastígur-Skúlagata</t>
  </si>
  <si>
    <t>Vatnsstígsreitur</t>
  </si>
  <si>
    <t>Grettisgata fjölskyldumiðstöð</t>
  </si>
  <si>
    <t>Snorrabraut 58-60</t>
  </si>
  <si>
    <t>Egilsgata-Snorrabraut (Egilsgata 5)</t>
  </si>
  <si>
    <t>BSÍ-reitur</t>
  </si>
  <si>
    <t>Nýr landspítali meðferðarkjarni (tekin í notkun 2025)</t>
  </si>
  <si>
    <t>Nýr landspítali afgangur af 1. áfanga</t>
  </si>
  <si>
    <t>Nýr landspítali 2. áfangi</t>
  </si>
  <si>
    <t>Nýr landspítali - randbyggð Vísindagarða</t>
  </si>
  <si>
    <t>Lækjargata hótelreitur</t>
  </si>
  <si>
    <t>Austurvöllur hótelreitur</t>
  </si>
  <si>
    <t>Bríetartún hótel</t>
  </si>
  <si>
    <t>Miðborg - margir reitir (830 íb mínus BSÍ, Miðbakki o.fl.)</t>
  </si>
  <si>
    <t xml:space="preserve">Laugavegur-Holt I </t>
  </si>
  <si>
    <t>Hlíðar</t>
  </si>
  <si>
    <t>Háteigsskóli</t>
  </si>
  <si>
    <t>Laugavegur-Holt II (Heklureitur)</t>
  </si>
  <si>
    <t>Laugavegur-Holt II (Hótel L176)</t>
  </si>
  <si>
    <t>Háaleitisbraut 1 (Valhöll)</t>
  </si>
  <si>
    <t>Sjómannaskólareitur</t>
  </si>
  <si>
    <t>KHÍ-lóð-nemendagarðar-Austurhlíð</t>
  </si>
  <si>
    <t>Veðurstofuhæð</t>
  </si>
  <si>
    <t>Laugavegur 180 (B)</t>
  </si>
  <si>
    <t>Starmýri 2a</t>
  </si>
  <si>
    <t>Skógarhlíð (M7) hluti hverfisskipulags</t>
  </si>
  <si>
    <t>Miklabraut - stokkur-vestur</t>
  </si>
  <si>
    <t>Miklabraut - stokkur-austur</t>
  </si>
  <si>
    <t>Lögreglustöðvarreitur</t>
  </si>
  <si>
    <t>Laugardalur</t>
  </si>
  <si>
    <t>Guðrúnartúnsreitur</t>
  </si>
  <si>
    <t>Laugarnesskóli</t>
  </si>
  <si>
    <t>Höfðatorg</t>
  </si>
  <si>
    <t>Borgartúnsreitir (M6a)</t>
  </si>
  <si>
    <t>Borgartún 24</t>
  </si>
  <si>
    <t>Borgartún 34-36</t>
  </si>
  <si>
    <t>Borgartún 28</t>
  </si>
  <si>
    <t>Sóltún 2-4</t>
  </si>
  <si>
    <t>Hátún+</t>
  </si>
  <si>
    <t>Kirkjusandur</t>
  </si>
  <si>
    <t>Blómavalsreitur</t>
  </si>
  <si>
    <t>SS-reitur (LHÍ-reitur)</t>
  </si>
  <si>
    <t>Köllunarklettur</t>
  </si>
  <si>
    <t>Vatnagarðar Súðarvogur (M9)</t>
  </si>
  <si>
    <t>Múlar-Suðurlandsbraut (M2c,d,e,f)</t>
  </si>
  <si>
    <t>Langholtsskóli</t>
  </si>
  <si>
    <t>Suðurlandsbraut-Laugardalur (M2g)</t>
  </si>
  <si>
    <t>Álfheimar 49 (B)</t>
  </si>
  <si>
    <t>Vogaskóli</t>
  </si>
  <si>
    <t>Skeifan - Sogamýri</t>
  </si>
  <si>
    <t>Álftamýrarskóli</t>
  </si>
  <si>
    <t>Skeifan  - Grensásvegur 1</t>
  </si>
  <si>
    <t>Vogabyggð I</t>
  </si>
  <si>
    <t>Vogabyggð II</t>
  </si>
  <si>
    <t>Vogabyggð III</t>
  </si>
  <si>
    <t>Vogabyggð IV</t>
  </si>
  <si>
    <t>Sæbraut-stokkur (Knarrarvogur)</t>
  </si>
  <si>
    <t>Hólmasund-Þróttaraheimili</t>
  </si>
  <si>
    <t>Sundahöfn H4</t>
  </si>
  <si>
    <t>Sundahöfn H4 þróun</t>
  </si>
  <si>
    <t>Kringlan rammaskipulag f.u. 1. áfanga</t>
  </si>
  <si>
    <t>Háaleiti-Bústaðir</t>
  </si>
  <si>
    <t>Hvassaleitisskóli</t>
  </si>
  <si>
    <t>Kringlan 1 .áfangi deiliskipulags</t>
  </si>
  <si>
    <t>Sléttuvegur</t>
  </si>
  <si>
    <t>Fossvogsskóli</t>
  </si>
  <si>
    <t>Sléttuvegur-eldri borgarar ofl</t>
  </si>
  <si>
    <t>Sléttuvegur 25-27 -hjúkrunarheimili</t>
  </si>
  <si>
    <t>Sléttuvegur-Skógavegir 6-8</t>
  </si>
  <si>
    <t>Sléttuvegur-Árland 10</t>
  </si>
  <si>
    <t>Skógarvegur 16</t>
  </si>
  <si>
    <t>RÚV-lóð áfangi 2</t>
  </si>
  <si>
    <t>Háaleitisbraut 12 (B)</t>
  </si>
  <si>
    <t>Borgarspítalareitur</t>
  </si>
  <si>
    <t xml:space="preserve">Vigdísarlundur/Fossvogsvegur 8 </t>
  </si>
  <si>
    <t>Stóragerði 40 (B)</t>
  </si>
  <si>
    <t>Sogavegur 73-77</t>
  </si>
  <si>
    <t>Breiðagerðisskóli</t>
  </si>
  <si>
    <t>Fram-svæði - Miklabraut 101</t>
  </si>
  <si>
    <t>Lágmúli (C40)</t>
  </si>
  <si>
    <t>Ármúli-Suðurlandsbraut</t>
  </si>
  <si>
    <t>Síðumúli-þróunarsvæði</t>
  </si>
  <si>
    <t>Orkureitur</t>
  </si>
  <si>
    <t>Háaleitisbraut-Miklabraut</t>
  </si>
  <si>
    <t>Furugerði</t>
  </si>
  <si>
    <t>Bústaðavegur 151-153</t>
  </si>
  <si>
    <t>Ártúnshöfði- Krossamýrartorg - svæði 1</t>
  </si>
  <si>
    <t>Ártúnshöfði</t>
  </si>
  <si>
    <t>Ártúnshöfði- Vogur - svæði 2</t>
  </si>
  <si>
    <t>Ártúnshöfði-landfylling- svæði 3</t>
  </si>
  <si>
    <t>Bryggjuhverfi III (Ártúnshöfði svæði 4)</t>
  </si>
  <si>
    <t>Ártúnshöfði-Höfði-  svæði 5</t>
  </si>
  <si>
    <t>Ártúnshöfði -Bíldshöfði (svæði 6)</t>
  </si>
  <si>
    <t>Höfðar AT1</t>
  </si>
  <si>
    <t>Viðarhöfði AT2</t>
  </si>
  <si>
    <t>Höfðar M4b afgangur</t>
  </si>
  <si>
    <t>Hylir</t>
  </si>
  <si>
    <t>Árbær</t>
  </si>
  <si>
    <t>Ártúnsskóli</t>
  </si>
  <si>
    <t>Rafstöðvarvegur - Ártúnsholt - vestur</t>
  </si>
  <si>
    <t>Rafstöðvarvegur - Ártúnsholt - austur</t>
  </si>
  <si>
    <t>Árbær, nokkrir reitir- nýjar íbúðir, hverfisskipulag</t>
  </si>
  <si>
    <t>Árbæjarskóli</t>
  </si>
  <si>
    <t>Hraunbær 103-105</t>
  </si>
  <si>
    <t>Hraunbær-Bæjarháls-austur</t>
  </si>
  <si>
    <t>Hraunbær-Bæjarháls-vestur</t>
  </si>
  <si>
    <t>Brekknaás-Vindás</t>
  </si>
  <si>
    <t>Selásskóli</t>
  </si>
  <si>
    <t>Norðlingaholt- Elliðabraut</t>
  </si>
  <si>
    <t>Norðlingaskóli</t>
  </si>
  <si>
    <t>Hraunbær 102(B)</t>
  </si>
  <si>
    <t>Norðlingabraut</t>
  </si>
  <si>
    <t>Hálsar AT2 samþykktar heimildir</t>
  </si>
  <si>
    <t>Hálsar AT2 áætluð möguleg viðbót með br. á DSK</t>
  </si>
  <si>
    <t>Suður-Mjódd atvinnulóðir</t>
  </si>
  <si>
    <t>Jaðarsel ný slökkvistöð</t>
  </si>
  <si>
    <t>Mjódd-Norður-Mjódd</t>
  </si>
  <si>
    <t>Breiðholt</t>
  </si>
  <si>
    <t>Breiðholtsskóli</t>
  </si>
  <si>
    <t>Suður-Mjódd- Skógarsel 10 (B)</t>
  </si>
  <si>
    <t>Ölduselsskóli</t>
  </si>
  <si>
    <t>Suður-Mjódd- Árskógar 5-7</t>
  </si>
  <si>
    <t>Arnarbakki</t>
  </si>
  <si>
    <t>Völvufell - Eddufell</t>
  </si>
  <si>
    <t>Fellaskóli</t>
  </si>
  <si>
    <t>Suðurhólar</t>
  </si>
  <si>
    <t>Hólabrekkuskóli</t>
  </si>
  <si>
    <t>Rangársel - Hagasel 23</t>
  </si>
  <si>
    <t>Rangársel (miðsvæði)</t>
  </si>
  <si>
    <t>Seljaskóli</t>
  </si>
  <si>
    <t>Stekkjarbakki - biodome</t>
  </si>
  <si>
    <t>Gufunes I</t>
  </si>
  <si>
    <t>Grafarvogur</t>
  </si>
  <si>
    <t>Borgarskóli</t>
  </si>
  <si>
    <t>Gufunes II</t>
  </si>
  <si>
    <t>Keldur</t>
  </si>
  <si>
    <t>Húsaskóli</t>
  </si>
  <si>
    <t>Foldahverfi-hverfiskjarni</t>
  </si>
  <si>
    <t>Foldaskóli</t>
  </si>
  <si>
    <t>Sóleyjarrimi</t>
  </si>
  <si>
    <t>Rimaskóli</t>
  </si>
  <si>
    <t>Spöngin-Móavegur</t>
  </si>
  <si>
    <t>Borgarholtsreitur</t>
  </si>
  <si>
    <t>Engjaskóli</t>
  </si>
  <si>
    <t>Fjallkonuvegur 1 (B)</t>
  </si>
  <si>
    <t>Korpa I-Egilshöll</t>
  </si>
  <si>
    <t>Staðarskóli</t>
  </si>
  <si>
    <t>Korpa II-Korpúlfsstaðir</t>
  </si>
  <si>
    <t>Korpa III-Korpa (Korputorg)</t>
  </si>
  <si>
    <t>Gylfaflöt</t>
  </si>
  <si>
    <t>Fossaleynir M10</t>
  </si>
  <si>
    <t>Höfðar M4b</t>
  </si>
  <si>
    <t>Keldur M4c</t>
  </si>
  <si>
    <t>Keldur M4d</t>
  </si>
  <si>
    <t>Grafarholt-þétting byggðar (Klausturstígur-Kapellustígur)</t>
  </si>
  <si>
    <t>Úlfarsárdalur</t>
  </si>
  <si>
    <t>Sæmundarskóli</t>
  </si>
  <si>
    <t>Grafarholt-þétting byggðar (M9 og hverfiskj.)</t>
  </si>
  <si>
    <t>Ingunnarskóli</t>
  </si>
  <si>
    <t>Reynisvatnsás</t>
  </si>
  <si>
    <t>Úlfarsárdalur - núverandi hverfi (þ.m.t aukaíbúðir)</t>
  </si>
  <si>
    <t>Dalskóli</t>
  </si>
  <si>
    <t>Úlfarsárdalur - Leirtjörn</t>
  </si>
  <si>
    <t>Úlfarsárdalur-austurreitir</t>
  </si>
  <si>
    <t>Úlfarsárdalur-Hamrahlíðarlönd</t>
  </si>
  <si>
    <t>Krókháls</t>
  </si>
  <si>
    <t>Hádegismóar M17</t>
  </si>
  <si>
    <t>Hólmsheiði</t>
  </si>
  <si>
    <t>Hólmsheiði þróun</t>
  </si>
  <si>
    <t>Hallar M9b (Lambhagavegur)</t>
  </si>
  <si>
    <t>Hamrahlíðalönd M22</t>
  </si>
  <si>
    <t>Korpa M9c (Korputorg o.fl)</t>
  </si>
  <si>
    <t>Kjalarnes - Grundarhverfi</t>
  </si>
  <si>
    <t>Kjalarnes</t>
  </si>
  <si>
    <t>Klébergsskóli</t>
  </si>
  <si>
    <t>Kjalarnes - Grundarhverfi DSK í vinnslu</t>
  </si>
  <si>
    <t>Esjumelar AT5 vestan Vesturlandsvegar</t>
  </si>
  <si>
    <t>Esjumelar AT5 austan Vesturlandsvegar sv. A</t>
  </si>
  <si>
    <t>Esjumelar AT5 austan Vesturlandsvegar sv. B</t>
  </si>
  <si>
    <t>Álfsnesnesvík, I2, H6</t>
  </si>
  <si>
    <t>Álfsnes norður I2</t>
  </si>
  <si>
    <t>Sorpa I5</t>
  </si>
  <si>
    <t>Bensínstöðvarlóðir dreift um borgina</t>
  </si>
  <si>
    <t>ATVINNU- OG SÉRHÆFT HÚSNÆÐI</t>
  </si>
  <si>
    <t>UPPBYGGING TIL 2024 ÁSAMT SKÝRINGUM</t>
  </si>
  <si>
    <t>Yfirlit yfir ófullgert húsnæði og heimildir</t>
  </si>
  <si>
    <r>
      <t>m</t>
    </r>
    <r>
      <rPr>
        <b/>
        <vertAlign val="superscript"/>
        <sz val="11"/>
        <rFont val="Calibri"/>
        <family val="2"/>
        <scheme val="minor"/>
      </rPr>
      <t>2</t>
    </r>
  </si>
  <si>
    <t>2019 (Q3)</t>
  </si>
  <si>
    <t>Breyting (%)</t>
  </si>
  <si>
    <t>Skýringar á reitum til útfyllingar</t>
  </si>
  <si>
    <t>Þegar fullgert (á matsstigi 5-7)</t>
  </si>
  <si>
    <t>Allir</t>
  </si>
  <si>
    <t>Hér þarf að lista upp skipulags-/þróunarsvæði  í sveitarfélaginu. Mörg smá uppbyggingarverkefni / þéttingarverkefni má gjarnan sameina í eitt verkefni.</t>
  </si>
  <si>
    <t>Á framkvæmdastigi (á matsstigi 1-4)</t>
  </si>
  <si>
    <t>Hér þurfa fulltrúar skipulags- og byggingarembætta að slá inn sitt mat á fjölda íbúða eða magn fermetra. Að auki mat á tímatengdum þáttum fyrir uppb. næstu ára.</t>
  </si>
  <si>
    <t>Heimildir í samþykktu deiliskipulagi (DSK), alls</t>
  </si>
  <si>
    <t>Hér þurfa fulltrúar skipulags- og byggingarembætta að slá inn sitt mat á stöðu uppbyggingar og/eða skipulags fyrir viðkomandi svæði, frá 1-5.</t>
  </si>
  <si>
    <t>DSK svæði: gatnagerð lokið/í vinnslu og framkv. hafnar</t>
  </si>
  <si>
    <t>Verkefni sem eru við það að hverfa út af listanum þar sem uppbyggingu er við að ljúka/lokið má gjarnan merkja sérstaklega</t>
  </si>
  <si>
    <t>DSK svæði: gatnagerð ekki hafin</t>
  </si>
  <si>
    <t>Nánari skýringar á reitum til ákvörðunar á magni og tímasetningu íbúða á tímabilinu 2020 (Q3-4) fram til 2024</t>
  </si>
  <si>
    <t>Deiliskipulag í vinnslu</t>
  </si>
  <si>
    <t>∆ T (ár)</t>
  </si>
  <si>
    <r>
      <t>Áætlaður fjöldi ára (</t>
    </r>
    <r>
      <rPr>
        <i/>
        <u/>
        <sz val="11"/>
        <rFont val="Times New Roman"/>
        <family val="1"/>
      </rPr>
      <t>mælt í hálfum og heilum árum</t>
    </r>
    <r>
      <rPr>
        <i/>
        <sz val="11"/>
        <rFont val="Times New Roman"/>
        <family val="1"/>
      </rPr>
      <t xml:space="preserve">) </t>
    </r>
    <r>
      <rPr>
        <i/>
        <u/>
        <sz val="11"/>
        <rFont val="Times New Roman"/>
        <family val="1"/>
      </rPr>
      <t>frá fyrstu fullgerðu íbúðum/fermetrum í síðustu fullgerðu íbúðir/fermetra</t>
    </r>
    <r>
      <rPr>
        <i/>
        <sz val="11"/>
        <rFont val="Times New Roman"/>
        <family val="1"/>
      </rPr>
      <t>á viðkomandi svæði.*</t>
    </r>
  </si>
  <si>
    <t>Þróunarsvæði</t>
  </si>
  <si>
    <t>∆ T (mán)</t>
  </si>
  <si>
    <r>
      <t>Áætlaður fjöldi mánaða frá fyrstu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í síðustu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þetta gildi reiknast sjálfkrafa.</t>
    </r>
  </si>
  <si>
    <t>Þróunarsvæði, áætlaðar heimildir</t>
  </si>
  <si>
    <t>∆ UH (t)</t>
  </si>
  <si>
    <t>Áætlaður fjöldi mánaða frá miðju ári 2020 (júlí) þar til fyrstu lóðum verður úthlutað og verkhönnun (aðalteikningar og verkteikningar) hefst.**</t>
  </si>
  <si>
    <t>Framtíðarsvæði/lauslegar hugmyndir, áætlaðar heimildir</t>
  </si>
  <si>
    <t>Hönnun (t)</t>
  </si>
  <si>
    <r>
      <t xml:space="preserve">Áætlaður fjöldi mánaða í hönnun, gerð aðal- og verkteikninga. Yfirleitt 12-18 mánuðir </t>
    </r>
    <r>
      <rPr>
        <i/>
        <u/>
        <sz val="11"/>
        <rFont val="Times New Roman"/>
        <family val="1"/>
      </rPr>
      <t>en minna ef vinna er hafin</t>
    </r>
    <r>
      <rPr>
        <i/>
        <sz val="11"/>
        <rFont val="Times New Roman"/>
        <family val="1"/>
      </rPr>
      <t xml:space="preserve">. </t>
    </r>
    <r>
      <rPr>
        <i/>
        <u/>
        <sz val="11"/>
        <rFont val="Times New Roman"/>
        <family val="1"/>
      </rPr>
      <t>Er óháð öðrum tímaþáttum</t>
    </r>
    <r>
      <rPr>
        <i/>
        <sz val="11"/>
        <rFont val="Times New Roman"/>
        <family val="1"/>
      </rPr>
      <t>.***</t>
    </r>
  </si>
  <si>
    <t>Áætlað framtíðarhúsnæði í skipulagi, bæði gildandi heimildir og áætlað</t>
  </si>
  <si>
    <t>T á markað</t>
  </si>
  <si>
    <t>Áætlaður fjöldi mánaða frá miðju ári 2020 (júlí) að fyrsta fullgerðu íb. Þetta gildi reiknast sjálfkrafa.</t>
  </si>
  <si>
    <t>Fullgert húsnæði 2020-2024, á ári og samtals. Áætlað</t>
  </si>
  <si>
    <t>í nánd BL</t>
  </si>
  <si>
    <t>%</t>
  </si>
  <si>
    <t>Skýringar á stöðu uppbyggingar og/eða skipulags</t>
  </si>
  <si>
    <r>
      <t xml:space="preserve">* </t>
    </r>
    <r>
      <rPr>
        <i/>
        <u/>
        <sz val="11"/>
        <color theme="1"/>
        <rFont val="Times New Roman"/>
        <family val="1"/>
      </rPr>
      <t>Einungis skal meta þetta fyrir þær íbúðir eða þá fermetra sem ekki eru þegar fullgerðir.</t>
    </r>
  </si>
  <si>
    <t>2020 (Q3-Q4)</t>
  </si>
  <si>
    <t>metið síðar</t>
  </si>
  <si>
    <t>Skýring</t>
  </si>
  <si>
    <r>
      <t xml:space="preserve">** </t>
    </r>
    <r>
      <rPr>
        <i/>
        <u/>
        <sz val="11"/>
        <color theme="1"/>
        <rFont val="Times New Roman"/>
        <family val="1"/>
      </rPr>
      <t>getur verið mínustala</t>
    </r>
    <r>
      <rPr>
        <i/>
        <sz val="11"/>
        <color theme="1"/>
        <rFont val="Times New Roman"/>
        <family val="1"/>
      </rPr>
      <t xml:space="preserve">. Mínustala er þá mat á því hve langt er síðan úthlutun / upphaf verkhönnunar hófst, mælt í mánuðum, </t>
    </r>
    <r>
      <rPr>
        <i/>
        <u/>
        <sz val="11"/>
        <color theme="1"/>
        <rFont val="Times New Roman"/>
        <family val="1"/>
      </rPr>
      <t>fyrir þau verkefni/heimildir sem ekki eru fullgerð, þ.e. einungis fyrir það sem er í vinnslu</t>
    </r>
    <r>
      <rPr>
        <i/>
        <sz val="11"/>
        <color theme="1"/>
        <rFont val="Times New Roman"/>
        <family val="1"/>
      </rPr>
      <t xml:space="preserve">. </t>
    </r>
    <r>
      <rPr>
        <i/>
        <u/>
        <sz val="11"/>
        <color theme="1"/>
        <rFont val="Times New Roman"/>
        <family val="1"/>
      </rPr>
      <t xml:space="preserve">Miða skal út frá miðju ári 2020. </t>
    </r>
  </si>
  <si>
    <t>Skipulögð svæði á framkvæmdastigi</t>
  </si>
  <si>
    <t>Samþykkt deiliskipulag, frkv. ekki hafnar</t>
  </si>
  <si>
    <r>
      <t xml:space="preserve">*** Ef framkvæmdir eru þegar hafnar </t>
    </r>
    <r>
      <rPr>
        <i/>
        <u/>
        <sz val="11"/>
        <color theme="1"/>
        <rFont val="Times New Roman"/>
        <family val="1"/>
      </rPr>
      <t>skal hafa þetta gildi 0. Ef áætlar er að hönnun ljúki eftir t.d. þrjá mánuði, mælt frá miðju 2020 skal setja 3</t>
    </r>
    <r>
      <rPr>
        <i/>
        <sz val="11"/>
        <color theme="1"/>
        <rFont val="Times New Roman"/>
        <family val="1"/>
      </rPr>
      <t>.</t>
    </r>
  </si>
  <si>
    <t>2023</t>
  </si>
  <si>
    <t>Svæði í skipulagsferli</t>
  </si>
  <si>
    <t>2024</t>
  </si>
  <si>
    <t>Áætlað að komi inn á markaðinn sem fullgert húsnæði (Mstig 5-7)</t>
  </si>
  <si>
    <t>Framtíðarsvæði</t>
  </si>
  <si>
    <t>Áætlað ársmeðaltal 2020-2024</t>
  </si>
  <si>
    <t>Uppbyggingarfasi / húsnæði fullgert og á markað</t>
  </si>
  <si>
    <t>Alls m2</t>
  </si>
  <si>
    <t>Mstig 5-7</t>
  </si>
  <si>
    <t>Mstig 1-4</t>
  </si>
  <si>
    <t>Heimildir</t>
  </si>
  <si>
    <t>∆ T (m)</t>
  </si>
  <si>
    <t>% 2020</t>
  </si>
  <si>
    <t>% 2021</t>
  </si>
  <si>
    <t>% 2022</t>
  </si>
  <si>
    <t>% 2023</t>
  </si>
  <si>
    <t>% 2024</t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</si>
  <si>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2020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</si>
  <si>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2021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</si>
  <si>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</si>
  <si>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2023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</si>
  <si>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2024</t>
    </r>
  </si>
  <si>
    <t>beinn innsláttur fermetra á ári á markað - sjá dálka V til Z</t>
  </si>
  <si>
    <t>beinn innsláttur íbúða á ári á markað - sjá dálka V til Z</t>
  </si>
  <si>
    <t>YFIRLIT / UPPBYGGING ÍBÚÐARHÚSNÆÐIS EFTIR SKIPULAGSLEGRI STÖÐU OG Á ÁRI TIL 2024</t>
  </si>
  <si>
    <t>Fjöldi íbúða</t>
  </si>
  <si>
    <t>Öll</t>
  </si>
  <si>
    <t>Þróunar- og framtíðarsvæði</t>
  </si>
  <si>
    <t>Fullgerðar íbúðir 2020-2024, á ári og samtals</t>
  </si>
  <si>
    <t>Fjöldi</t>
  </si>
  <si>
    <t>Uppbyggingarfasi / íbúðir fullgerðar og á markað</t>
  </si>
  <si>
    <t>Alls fjöldi</t>
  </si>
  <si>
    <t>Íb. 2020</t>
  </si>
  <si>
    <t>Íb. 2021</t>
  </si>
  <si>
    <t>Íb. 2022</t>
  </si>
  <si>
    <t>Íb. 2023</t>
  </si>
  <si>
    <t>Íb. 2024</t>
  </si>
  <si>
    <r>
      <t xml:space="preserve">Byggingarsvæði útskrifuð </t>
    </r>
    <r>
      <rPr>
        <sz val="8"/>
        <color theme="1"/>
        <rFont val="Calibri"/>
        <family val="2"/>
        <scheme val="minor"/>
      </rPr>
      <t>(að hluta eða öllur)</t>
    </r>
  </si>
  <si>
    <t>Frakkastígsreitur</t>
  </si>
  <si>
    <t>A</t>
  </si>
  <si>
    <t>RÚV-lóð</t>
  </si>
  <si>
    <t>Hlíðarendi</t>
  </si>
  <si>
    <t>Bryggjuhverfi II*</t>
  </si>
  <si>
    <t>Hljómalindareitur</t>
  </si>
  <si>
    <t>Suður-Mjódd</t>
  </si>
  <si>
    <t>Úlfarsárdalur - núverandi hverfi (Urðarbrunnur ofl)</t>
  </si>
  <si>
    <t>Höfðatorg I</t>
  </si>
  <si>
    <t>Byggingarsvæði á framkvæmdastigi</t>
  </si>
  <si>
    <t>Borg</t>
  </si>
  <si>
    <t>Önnur svæði</t>
  </si>
  <si>
    <t>Infill/densification</t>
  </si>
  <si>
    <t>Flokkur</t>
  </si>
  <si>
    <t>Heildarmagn*</t>
  </si>
  <si>
    <t>Meðalstærð</t>
  </si>
  <si>
    <t>Stærðarflokkun</t>
  </si>
  <si>
    <t>Hlutfall</t>
  </si>
  <si>
    <t>Húsnæðisfélög</t>
  </si>
  <si>
    <t>Gerð svæðis - flokkar I, II, III, IV*</t>
  </si>
  <si>
    <t>Húsnæðisfélag</t>
  </si>
  <si>
    <t>Gerð svæðis - flokkar I, II, III, IV* - fjöldi íbúða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</si>
  <si>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</si>
  <si>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&lt;39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</si>
  <si>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40-79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</si>
  <si>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80-119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</si>
  <si>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120-159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</si>
  <si>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&gt;160 m</t>
    </r>
    <r>
      <rPr>
        <vertAlign val="superscript"/>
        <sz val="11"/>
        <color theme="1"/>
        <rFont val="Calibri"/>
        <family val="2"/>
        <scheme val="minor"/>
      </rPr>
      <t>2</t>
    </r>
  </si>
  <si>
    <t>húsnæðisfélaga (%)</t>
  </si>
  <si>
    <t>(fjöldi)</t>
  </si>
  <si>
    <t>I - raskað</t>
  </si>
  <si>
    <t>II-raskað/óraskað</t>
  </si>
  <si>
    <t>III-óraskað/ekki útivist</t>
  </si>
  <si>
    <t>IV-óraskað/ útivist í AR</t>
  </si>
  <si>
    <t>V-landfylling/strönd/sjór</t>
  </si>
  <si>
    <t>Almennar leiguíbúðir</t>
  </si>
  <si>
    <t>Búseturéttaríbúðir</t>
  </si>
  <si>
    <t>Stúdentaíbúðir</t>
  </si>
  <si>
    <t>Eldri borgarar</t>
  </si>
  <si>
    <t>Hjúkrunaríbúðir</t>
  </si>
  <si>
    <t>Félagsbústaðir</t>
  </si>
  <si>
    <t>Brynja</t>
  </si>
  <si>
    <t>Bjarg-ASÍ/BSRB/VR</t>
  </si>
  <si>
    <t>Hagkvæmar fyrir ungt fólk</t>
  </si>
  <si>
    <t>IV-landfylling/strönd/sjór</t>
  </si>
  <si>
    <t>útivistarvæði skv. AR2030</t>
  </si>
  <si>
    <t>Nýlendurreitur</t>
  </si>
  <si>
    <t>Hafnartorg-Austurhöfn</t>
  </si>
  <si>
    <t>Öskjuhlíð-Nauthólsvegur</t>
  </si>
  <si>
    <t>Elliðabraut-Norðlingaholt</t>
  </si>
  <si>
    <t>KHÍ-lóð-Austurhlíð</t>
  </si>
  <si>
    <t xml:space="preserve">  </t>
  </si>
  <si>
    <t>Héðinsreitur</t>
  </si>
  <si>
    <t>Samþykkt deiliskipulag</t>
  </si>
  <si>
    <t>B</t>
  </si>
  <si>
    <t>KHÍ-lóð-nemendagarðar</t>
  </si>
  <si>
    <t>Höfðatorg II</t>
  </si>
  <si>
    <t>Bykó-lóð</t>
  </si>
  <si>
    <r>
      <t xml:space="preserve">Bryggjuhverfi III </t>
    </r>
    <r>
      <rPr>
        <sz val="8"/>
        <color theme="1"/>
        <rFont val="Calibri"/>
        <family val="2"/>
        <scheme val="minor"/>
      </rPr>
      <t>(Ártúnshöfði svæði 4)</t>
    </r>
  </si>
  <si>
    <t>Gufunes-1.áfangi</t>
  </si>
  <si>
    <t>Borgartúnsreitir</t>
  </si>
  <si>
    <t>Grafarholt-Klausturstígur-Kapellustígur</t>
  </si>
  <si>
    <t>Grensásvegur 1</t>
  </si>
  <si>
    <t>HÍ-Gamli Garður</t>
  </si>
  <si>
    <t>Árbær, Hylir - nýjar íbúðir, hverfisskipulag</t>
  </si>
  <si>
    <t>C</t>
  </si>
  <si>
    <t>Laugavegur-Skipholt-Heklureitur</t>
  </si>
  <si>
    <t>Skerjabyggð</t>
  </si>
  <si>
    <t>Suðurlandsbraut/Ármúli - Orkuhúsreitur</t>
  </si>
  <si>
    <t>Kringlan</t>
  </si>
  <si>
    <t>D</t>
  </si>
  <si>
    <t xml:space="preserve">Skeifan </t>
  </si>
  <si>
    <t>HÍ-við Suðurgötu</t>
  </si>
  <si>
    <t>Úlfarsárdalur - Ljótaland</t>
  </si>
  <si>
    <t>SS-reitur</t>
  </si>
  <si>
    <t>Vogabyggð III, IV</t>
  </si>
  <si>
    <t>Múlar-Suðurlandsbraut</t>
  </si>
  <si>
    <t>Sæbraut-stokkur</t>
  </si>
  <si>
    <t>Miklabraut - stokkur</t>
  </si>
  <si>
    <t>Framtíðarsvæði og önnur svæði í skoðun</t>
  </si>
  <si>
    <t>E</t>
  </si>
  <si>
    <t>Loftleiðasvæði</t>
  </si>
  <si>
    <t>Skógarhlíð (M7) hluti hverfisskipulags?</t>
  </si>
  <si>
    <t>Kirkjusandur-SÍS-reitur</t>
  </si>
  <si>
    <t>Laugardalur -Suðurlandsbraut</t>
  </si>
  <si>
    <t>Fram-svæði</t>
  </si>
  <si>
    <t>Breiðholt (Suðurfell, Hólar)</t>
  </si>
  <si>
    <t>Korpa III-Korpa</t>
  </si>
  <si>
    <t>Ártúnshöfði -Bíldshöfði (svæði 6, 7 og 8)</t>
  </si>
  <si>
    <t>Hálsar-Höfðar austur</t>
  </si>
  <si>
    <t>Örfirisey</t>
  </si>
  <si>
    <t>Bensínstöðvalóðir (50% fækkun, ca 7 ha, 75 íb/ha)</t>
  </si>
  <si>
    <t>Hægfara þétting innan gróinna hverfa*</t>
  </si>
  <si>
    <t>Árbær - nýjar íbúðir, hverfisskipulag</t>
  </si>
  <si>
    <t>Árbær - aukaíbúðir (1004)</t>
  </si>
  <si>
    <t>F</t>
  </si>
  <si>
    <t>Grafarholt-Úlfarsárdalur</t>
  </si>
  <si>
    <t>Heildar möguleikar:</t>
  </si>
  <si>
    <t>*Sbr. heimildum í hverfisskipulagi. Lauslegt mat vegna nýrra íbúða vegna nýbygginga, viðbygginga, skiptingu stærri í tvær minni íbúðir, aukaíbúðir innan sama matshluta. Til hliðsjónar vegna áhrifa á heildar húsnæðisþörf og mat á nýbyggingarþörfina</t>
  </si>
  <si>
    <t>III-óraskað/grænt</t>
  </si>
  <si>
    <t>I - raskað: Vannýtt eldra atvinnusvæði, svæði sem þegar eru í nýtingu (brownfiled+)/röskuð. Hér meðtalin flugvallarsvæði og helgunarsvæði hans, helgunarsvæði með stofnbrautum, sem hafa ekki verið nýtanlega vegna nálægðar við flugvöll eða stofnbraut.</t>
  </si>
  <si>
    <t>II - raskað/óraskað: Blönduð svæði, byggð svæði með einstaka grænum svæðum, sem hefur verið mögulega verið ráðstafað undir byggð samkvæmt stefnu í skipulagi eða eru innan lóðar</t>
  </si>
  <si>
    <t>III - óraskað/grænt: Opið grænt svæði, með takmarkaðri byggð, að mestu óraskað og er ekki innan skilgreindra lóða</t>
  </si>
  <si>
    <t>IV - landfylling: Nýtt land sem tekur yfir raskað/óraskaða strandlengju/hafsvæði</t>
  </si>
  <si>
    <t>Þróunaráætlun Reykjavíkur 2020-2024</t>
  </si>
  <si>
    <t>Yfirlit</t>
  </si>
  <si>
    <t>Íbúðir</t>
  </si>
  <si>
    <t>% frá 2019</t>
  </si>
  <si>
    <t>A&amp;S (m2)*</t>
  </si>
  <si>
    <t>Heimildir í samþykktu deiliskipulagi, alls</t>
  </si>
  <si>
    <t>Heimildir á sv. þar sem framkv. eru hafnar</t>
  </si>
  <si>
    <t>Heimildir á sv. þar sem framkvæmdir eru ekki hafnar</t>
  </si>
  <si>
    <t>Alls, heimildir og áætlaðar heimildir til framtíðar</t>
  </si>
  <si>
    <t>Áætlað fullgert 2020-2024, á ári og samtals</t>
  </si>
  <si>
    <t>2020 (6 mán. Q3-Q4)</t>
  </si>
  <si>
    <t>Samtals</t>
  </si>
  <si>
    <t>Meðaltal pr. ár, 2020-2024 (4,5 ár)</t>
  </si>
  <si>
    <t>* Atvinnuhúsnæði og sérhæft húsnæði, þ.m.t. verslana- og skrifstofuhúsnæði, iðnaðarhúsnæði, vörugeymslur og sérhæft húsnæði skv. Þjóðskrá</t>
  </si>
  <si>
    <t>Þróunaráætlun Reykjavíkur 2020-2024 - helstu uppbyggingarsvæði og áætlað byggt húsnæði (fullgert) til ársloka 2024</t>
  </si>
  <si>
    <t>Óbyggt húsnæði*</t>
  </si>
  <si>
    <t>Áætlað á markað til 2024**</t>
  </si>
  <si>
    <t>Áætlað á markað til 2024</t>
  </si>
  <si>
    <t>Grandi-Örfirisey</t>
  </si>
  <si>
    <t>Hí-svæði austan Suðurgötu</t>
  </si>
  <si>
    <t>Hí-svæði vestan Suðurgötu</t>
  </si>
  <si>
    <t>Nemendagarðar HR</t>
  </si>
  <si>
    <t>Barónsreitur</t>
  </si>
  <si>
    <t>Snorrabraut - Egilsgata</t>
  </si>
  <si>
    <t>Kvos - Miðbakki</t>
  </si>
  <si>
    <t>KHÍ svæði</t>
  </si>
  <si>
    <t>Landspítalinn</t>
  </si>
  <si>
    <t>Borgartún</t>
  </si>
  <si>
    <t>Sléttuvegur-Skógarvegur</t>
  </si>
  <si>
    <t>Ártúnshöfði I Krossmýrartorg</t>
  </si>
  <si>
    <t>Ártúnshöfði II</t>
  </si>
  <si>
    <t>Hálsar AT2</t>
  </si>
  <si>
    <t>Ártúnshöfði IV Bryggjuhverfi</t>
  </si>
  <si>
    <t>Hraunbær-Bæjarháls</t>
  </si>
  <si>
    <t>Norðlingaholt-Elliðabraut</t>
  </si>
  <si>
    <t>Hallar - Lambhagavegur</t>
  </si>
  <si>
    <t>Grafarholt-Klausturstígur</t>
  </si>
  <si>
    <t>Esjumelar AT5 austur svæði A</t>
  </si>
  <si>
    <t>Esjumelar AT5 austur svæði B</t>
  </si>
  <si>
    <t>Leirtjörn</t>
  </si>
  <si>
    <t>Álfsnesvík I2</t>
  </si>
  <si>
    <t>* Óbyggt húsnæði í heimildum og/eða á matsstigi 1-4. Húsnæði á matsstigi 5-7 er ekki talið með. Í flestum tilfellum er um að ræða deiliskipulagt svæði en einnig getur deiliskipulag verið í vinnslu.</t>
  </si>
  <si>
    <r>
      <t xml:space="preserve">** Það magn húsnæðis sem </t>
    </r>
    <r>
      <rPr>
        <u/>
        <sz val="11"/>
        <color theme="1"/>
        <rFont val="Calibri"/>
        <family val="2"/>
        <scheme val="minor"/>
      </rPr>
      <t xml:space="preserve"> verið byggt og fengið lokaúttekt til ársloka 2024,</t>
    </r>
    <r>
      <rPr>
        <sz val="11"/>
        <color theme="1"/>
        <rFont val="Calibri"/>
        <family val="2"/>
        <scheme val="minor"/>
      </rPr>
      <t xml:space="preserve"> og/eða er komið í sölu hjá fasteignasölum.</t>
    </r>
  </si>
  <si>
    <t>Yfirlit, helstu atvinnusvæði til næstu ára (2020-2024+)</t>
  </si>
  <si>
    <t>Yfirlit, helstu íbúðasvæði til næstu ára (2020-2024+)</t>
  </si>
  <si>
    <t>Áætlaðar heimildir</t>
  </si>
  <si>
    <t>Fjölskyldumiðstöð Grettisgötu</t>
  </si>
  <si>
    <t>Ártúnshöfði V</t>
  </si>
  <si>
    <t>Vatnstígsreitur</t>
  </si>
  <si>
    <t>Jaðarsel slökkvistöð</t>
  </si>
  <si>
    <t>Laugavegur Holt I</t>
  </si>
  <si>
    <t>Laugavegur Holt II</t>
  </si>
  <si>
    <t>Korpa M9c (Korputorg o.fl.)</t>
  </si>
  <si>
    <t>Völvufell-Eddufell</t>
  </si>
  <si>
    <t>Háaleitisbraut 1</t>
  </si>
  <si>
    <t>Yfirlit, önnur íbúðasvæði á dagskrá fljótlega eftir 2024</t>
  </si>
  <si>
    <t>Yfirlit, önnur atvinnusvæði á dagskrá fljótlega eftir 2024</t>
  </si>
  <si>
    <t>BSÍ reitur</t>
  </si>
  <si>
    <t>Skeifan</t>
  </si>
  <si>
    <t>Kringlusvæði</t>
  </si>
  <si>
    <t>taka út</t>
  </si>
  <si>
    <t>breyta í atvinnureit</t>
  </si>
  <si>
    <t>Rétt tala:</t>
  </si>
  <si>
    <t>Reitir</t>
  </si>
  <si>
    <t>íb</t>
  </si>
  <si>
    <t>atv</t>
  </si>
  <si>
    <t>G</t>
  </si>
  <si>
    <t>H</t>
  </si>
  <si>
    <t>I</t>
  </si>
  <si>
    <t>Hlíðarendi reitir A,G,H,I</t>
  </si>
  <si>
    <t xml:space="preserve">heildarstærð bygginga </t>
  </si>
  <si>
    <t>fm</t>
  </si>
  <si>
    <t>Héðinsgata 7 (Vesturgata 67?)</t>
  </si>
  <si>
    <t>Hverfisgata 98-100a</t>
  </si>
  <si>
    <t>Frakkastígur 1</t>
  </si>
  <si>
    <t>Skeifan - Metróreitur</t>
  </si>
  <si>
    <t>Þverholt 13</t>
  </si>
  <si>
    <t>Suðurfell 4</t>
  </si>
  <si>
    <t>Dunhagi 18-20</t>
  </si>
  <si>
    <t>Vesturgata 67</t>
  </si>
  <si>
    <t>Skipholt 1</t>
  </si>
  <si>
    <t>Rofabær 7-9</t>
  </si>
  <si>
    <t>Snorrabraut 54 (áður hótel)</t>
  </si>
  <si>
    <t>Kirkjusandur-Íslandsbankalóð (A reitur)</t>
  </si>
  <si>
    <t>Kirkjusandur-endurskoðun F reits</t>
  </si>
  <si>
    <t>Gufunes I þróun</t>
  </si>
  <si>
    <t>Jórufell</t>
  </si>
  <si>
    <t>Þverholt 18</t>
  </si>
  <si>
    <t>Brautarholt 4-4a og 18-20</t>
  </si>
  <si>
    <t>Laugavegur 105</t>
  </si>
  <si>
    <t>Laugavegur 157-159</t>
  </si>
  <si>
    <t>Bræðraborgarstígur</t>
  </si>
  <si>
    <t>Sléttuvegur-Skógavegur 4 og 10</t>
  </si>
  <si>
    <t>Sléttuvegur-Skógavegur 6-8</t>
  </si>
  <si>
    <t>2020</t>
  </si>
  <si>
    <t>SS-lóð (LHÍ-reitur)</t>
  </si>
  <si>
    <t>Áætlað ársmeðaltal 2022-2024</t>
  </si>
  <si>
    <t>Fullgerðar íbúðir 2022-2024, á ári og samtals</t>
  </si>
  <si>
    <t>Héðinsgata 7</t>
  </si>
  <si>
    <t>Hlíðarendi afgangur</t>
  </si>
  <si>
    <t>Snorrabraut 54 hótel</t>
  </si>
  <si>
    <t>Kirkjusandur-SIS-reitur</t>
  </si>
  <si>
    <t>Suðurfell</t>
  </si>
  <si>
    <t>í vinnslu</t>
  </si>
  <si>
    <t>Hótel Saga - breyting í íbúðir</t>
  </si>
  <si>
    <t>Öskjuhlíð-Nauthólsvegur 79</t>
  </si>
  <si>
    <t>Miklabraut - stokkur-vestur og Skógarhlíð</t>
  </si>
  <si>
    <t>Hlíðar hverfisskipulag</t>
  </si>
  <si>
    <t>Vogabyggð IV ásamt Sæbrautarstokk</t>
  </si>
  <si>
    <t>Úlfarsárdalur - Leirtjörn þróun</t>
  </si>
  <si>
    <t>Hólmsheiði skipulagi frestað</t>
  </si>
  <si>
    <t>Skipulögð svæði á frkv.stigi / gatnagerð lokið</t>
  </si>
  <si>
    <t>Samþykkt deiliskipulag, gatnagerð ekki hafin</t>
  </si>
  <si>
    <t>2021</t>
  </si>
  <si>
    <t>2020 Q3-4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</si>
</sst>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i/>
      <sz val="11"/>
      <name val="Times New Roman"/>
      <family val="1"/>
    </font>
    <font>
      <b/>
      <sz val="11"/>
      <color theme="1" tint="0.499984740745262"/>
      <name val="Calibri"/>
      <family val="2"/>
      <scheme val="minor"/>
    </font>
    <font>
      <i/>
      <sz val="11"/>
      <color rgb="FF9C0006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rgb="FF006100"/>
      <name val="Times New Roman"/>
      <family val="1"/>
    </font>
    <font>
      <i/>
      <u/>
      <sz val="11"/>
      <name val="Times New Roman"/>
      <family val="1"/>
    </font>
    <font>
      <i/>
      <vertAlign val="superscript"/>
      <sz val="11"/>
      <name val="Times New Roman"/>
      <family val="1"/>
    </font>
    <font>
      <i/>
      <u/>
      <sz val="11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rgb="FF0061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4D4D4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</cellStyleXfs>
  <cellXfs count="47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9" fillId="7" borderId="0" xfId="0" applyNumberFormat="1" applyFont="1" applyFill="1" applyAlignment="1">
      <alignment horizontal="center" vertical="center"/>
    </xf>
    <xf numFmtId="3" fontId="9" fillId="7" borderId="0" xfId="0" applyNumberFormat="1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3" borderId="0" xfId="3" applyBorder="1" applyAlignment="1">
      <alignment horizontal="center"/>
    </xf>
    <xf numFmtId="0" fontId="2" fillId="0" borderId="0" xfId="2" applyFill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3" fontId="13" fillId="7" borderId="3" xfId="0" applyNumberFormat="1" applyFont="1" applyFill="1" applyBorder="1" applyAlignment="1">
      <alignment horizontal="center" vertical="center"/>
    </xf>
    <xf numFmtId="3" fontId="13" fillId="7" borderId="4" xfId="0" applyNumberFormat="1" applyFont="1" applyFill="1" applyBorder="1" applyAlignment="1">
      <alignment horizontal="left" vertical="center"/>
    </xf>
    <xf numFmtId="3" fontId="13" fillId="7" borderId="5" xfId="0" applyNumberFormat="1" applyFont="1" applyFill="1" applyBorder="1" applyAlignment="1">
      <alignment horizontal="center" vertical="center"/>
    </xf>
    <xf numFmtId="49" fontId="13" fillId="7" borderId="4" xfId="0" applyNumberFormat="1" applyFont="1" applyFill="1" applyBorder="1" applyAlignment="1">
      <alignment horizontal="center" vertical="center"/>
    </xf>
    <xf numFmtId="49" fontId="13" fillId="7" borderId="6" xfId="0" applyNumberFormat="1" applyFont="1" applyFill="1" applyBorder="1" applyAlignment="1">
      <alignment horizontal="center" vertical="center"/>
    </xf>
    <xf numFmtId="9" fontId="13" fillId="7" borderId="7" xfId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7" fillId="8" borderId="0" xfId="0" applyFont="1" applyFill="1"/>
    <xf numFmtId="0" fontId="17" fillId="8" borderId="0" xfId="0" applyFont="1" applyFill="1" applyAlignment="1">
      <alignment horizontal="center"/>
    </xf>
    <xf numFmtId="3" fontId="17" fillId="8" borderId="0" xfId="0" applyNumberFormat="1" applyFont="1" applyFill="1" applyAlignment="1">
      <alignment horizontal="right" indent="1"/>
    </xf>
    <xf numFmtId="0" fontId="17" fillId="8" borderId="0" xfId="0" applyFont="1" applyFill="1" applyAlignment="1">
      <alignment horizontal="right" indent="1"/>
    </xf>
    <xf numFmtId="9" fontId="17" fillId="8" borderId="9" xfId="1" applyFont="1" applyFill="1" applyBorder="1" applyAlignment="1">
      <alignment horizontal="left"/>
    </xf>
    <xf numFmtId="0" fontId="17" fillId="8" borderId="10" xfId="0" applyFont="1" applyFill="1" applyBorder="1" applyAlignment="1">
      <alignment horizontal="center"/>
    </xf>
    <xf numFmtId="0" fontId="18" fillId="4" borderId="11" xfId="4" applyFont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8" borderId="16" xfId="0" applyFont="1" applyFill="1" applyBorder="1"/>
    <xf numFmtId="0" fontId="17" fillId="8" borderId="16" xfId="0" applyFont="1" applyFill="1" applyBorder="1" applyAlignment="1">
      <alignment horizontal="center"/>
    </xf>
    <xf numFmtId="3" fontId="19" fillId="8" borderId="16" xfId="0" applyNumberFormat="1" applyFont="1" applyFill="1" applyBorder="1" applyAlignment="1">
      <alignment horizontal="right" indent="1"/>
    </xf>
    <xf numFmtId="9" fontId="17" fillId="8" borderId="16" xfId="1" applyFont="1" applyFill="1" applyBorder="1" applyAlignment="1">
      <alignment horizontal="left"/>
    </xf>
    <xf numFmtId="9" fontId="17" fillId="8" borderId="17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18" fillId="5" borderId="18" xfId="5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13" fillId="0" borderId="0" xfId="0" applyNumberFormat="1" applyFont="1" applyAlignment="1">
      <alignment horizontal="right" indent="1"/>
    </xf>
    <xf numFmtId="9" fontId="9" fillId="0" borderId="16" xfId="1" applyFont="1" applyBorder="1" applyAlignment="1">
      <alignment horizontal="left"/>
    </xf>
    <xf numFmtId="9" fontId="9" fillId="0" borderId="17" xfId="1" applyFont="1" applyBorder="1" applyAlignment="1">
      <alignment horizontal="left"/>
    </xf>
    <xf numFmtId="9" fontId="9" fillId="0" borderId="0" xfId="1" applyFont="1" applyFill="1" applyBorder="1" applyAlignment="1">
      <alignment horizontal="left"/>
    </xf>
    <xf numFmtId="0" fontId="20" fillId="3" borderId="15" xfId="3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left" indent="2"/>
    </xf>
    <xf numFmtId="3" fontId="13" fillId="0" borderId="16" xfId="0" applyNumberFormat="1" applyFont="1" applyBorder="1" applyAlignment="1">
      <alignment horizontal="right" indent="1"/>
    </xf>
    <xf numFmtId="9" fontId="9" fillId="0" borderId="17" xfId="1" applyFont="1" applyBorder="1" applyAlignment="1">
      <alignment horizontal="center"/>
    </xf>
    <xf numFmtId="0" fontId="22" fillId="2" borderId="20" xfId="2" applyFont="1" applyBorder="1" applyAlignment="1">
      <alignment horizontal="center"/>
    </xf>
    <xf numFmtId="0" fontId="0" fillId="0" borderId="16" xfId="0" applyBorder="1"/>
    <xf numFmtId="0" fontId="9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left" indent="2"/>
    </xf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13" fillId="0" borderId="29" xfId="0" applyNumberFormat="1" applyFont="1" applyBorder="1" applyAlignment="1">
      <alignment horizontal="right" indent="1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/>
    <xf numFmtId="0" fontId="7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3" fontId="7" fillId="0" borderId="33" xfId="0" applyNumberFormat="1" applyFont="1" applyBorder="1" applyAlignment="1">
      <alignment horizontal="right" indent="1"/>
    </xf>
    <xf numFmtId="3" fontId="13" fillId="0" borderId="33" xfId="0" applyNumberFormat="1" applyFont="1" applyBorder="1" applyAlignment="1">
      <alignment horizontal="right" indent="1"/>
    </xf>
    <xf numFmtId="0" fontId="9" fillId="0" borderId="34" xfId="0" applyFont="1" applyBorder="1" applyAlignment="1">
      <alignment horizontal="center"/>
    </xf>
    <xf numFmtId="3" fontId="9" fillId="7" borderId="3" xfId="0" applyNumberFormat="1" applyFont="1" applyFill="1" applyBorder="1" applyAlignment="1">
      <alignment horizontal="center" vertical="center"/>
    </xf>
    <xf numFmtId="3" fontId="13" fillId="7" borderId="5" xfId="0" applyNumberFormat="1" applyFont="1" applyFill="1" applyBorder="1" applyAlignment="1">
      <alignment horizontal="left" vertical="center" indent="1"/>
    </xf>
    <xf numFmtId="3" fontId="13" fillId="7" borderId="4" xfId="0" applyNumberFormat="1" applyFont="1" applyFill="1" applyBorder="1" applyAlignment="1">
      <alignment horizontal="center" vertical="center"/>
    </xf>
    <xf numFmtId="3" fontId="13" fillId="7" borderId="6" xfId="0" applyNumberFormat="1" applyFont="1" applyFill="1" applyBorder="1" applyAlignment="1">
      <alignment horizontal="center" vertical="center"/>
    </xf>
    <xf numFmtId="9" fontId="13" fillId="7" borderId="6" xfId="1" applyFont="1" applyFill="1" applyBorder="1" applyAlignment="1">
      <alignment horizontal="left" vertical="center"/>
    </xf>
    <xf numFmtId="3" fontId="13" fillId="0" borderId="9" xfId="0" applyNumberFormat="1" applyFont="1" applyBorder="1" applyAlignment="1">
      <alignment horizontal="right" indent="1"/>
    </xf>
    <xf numFmtId="0" fontId="2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9" fillId="0" borderId="16" xfId="0" applyNumberFormat="1" applyFont="1" applyBorder="1"/>
    <xf numFmtId="49" fontId="9" fillId="0" borderId="0" xfId="0" applyNumberFormat="1" applyFont="1"/>
    <xf numFmtId="9" fontId="0" fillId="0" borderId="16" xfId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9" fillId="0" borderId="30" xfId="0" applyNumberFormat="1" applyFont="1" applyBorder="1"/>
    <xf numFmtId="0" fontId="21" fillId="0" borderId="29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40" xfId="0" applyBorder="1" applyAlignment="1">
      <alignment horizontal="center"/>
    </xf>
    <xf numFmtId="49" fontId="7" fillId="0" borderId="30" xfId="0" applyNumberFormat="1" applyFont="1" applyBorder="1"/>
    <xf numFmtId="0" fontId="0" fillId="0" borderId="30" xfId="0" applyBorder="1" applyAlignment="1">
      <alignment horizontal="center"/>
    </xf>
    <xf numFmtId="3" fontId="7" fillId="0" borderId="30" xfId="0" applyNumberFormat="1" applyFont="1" applyBorder="1" applyAlignment="1">
      <alignment horizontal="right" indent="1"/>
    </xf>
    <xf numFmtId="0" fontId="0" fillId="0" borderId="41" xfId="0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0" fillId="3" borderId="35" xfId="3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7" fillId="0" borderId="33" xfId="0" applyNumberFormat="1" applyFont="1" applyBorder="1"/>
    <xf numFmtId="0" fontId="0" fillId="0" borderId="33" xfId="0" applyBorder="1" applyAlignment="1">
      <alignment horizontal="center"/>
    </xf>
    <xf numFmtId="3" fontId="11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/>
    <xf numFmtId="0" fontId="11" fillId="0" borderId="0" xfId="0" applyFont="1" applyAlignment="1">
      <alignment horizontal="center" vertical="center" wrapText="1"/>
    </xf>
    <xf numFmtId="3" fontId="9" fillId="7" borderId="43" xfId="0" applyNumberFormat="1" applyFont="1" applyFill="1" applyBorder="1" applyAlignment="1">
      <alignment horizontal="center" vertical="center"/>
    </xf>
    <xf numFmtId="3" fontId="9" fillId="7" borderId="44" xfId="0" applyNumberFormat="1" applyFont="1" applyFill="1" applyBorder="1" applyAlignment="1">
      <alignment horizontal="left" vertical="center" indent="1"/>
    </xf>
    <xf numFmtId="3" fontId="9" fillId="7" borderId="44" xfId="0" applyNumberFormat="1" applyFont="1" applyFill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27" fillId="7" borderId="44" xfId="0" applyNumberFormat="1" applyFont="1" applyFill="1" applyBorder="1" applyAlignment="1">
      <alignment horizontal="center" vertical="center"/>
    </xf>
    <xf numFmtId="49" fontId="9" fillId="7" borderId="4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5" borderId="1" xfId="5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/>
    <xf numFmtId="0" fontId="9" fillId="5" borderId="1" xfId="5" applyFont="1" applyAlignment="1">
      <alignment horizontal="center"/>
    </xf>
    <xf numFmtId="9" fontId="9" fillId="0" borderId="0" xfId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0" fontId="10" fillId="0" borderId="0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5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5" applyFont="1" applyFill="1" applyBorder="1" applyAlignment="1">
      <alignment horizontal="center"/>
    </xf>
    <xf numFmtId="9" fontId="10" fillId="0" borderId="0" xfId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2" applyFont="1" applyFill="1"/>
    <xf numFmtId="0" fontId="10" fillId="0" borderId="0" xfId="2" applyFont="1" applyFill="1" applyBorder="1"/>
    <xf numFmtId="0" fontId="9" fillId="0" borderId="0" xfId="2" applyFont="1" applyFill="1" applyBorder="1"/>
    <xf numFmtId="0" fontId="30" fillId="0" borderId="0" xfId="2" applyFont="1" applyFill="1" applyAlignment="1">
      <alignment horizontal="center" wrapText="1"/>
    </xf>
    <xf numFmtId="0" fontId="9" fillId="0" borderId="0" xfId="4" applyFont="1" applyFill="1"/>
    <xf numFmtId="164" fontId="9" fillId="5" borderId="1" xfId="5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9" fillId="10" borderId="1" xfId="5" applyNumberFormat="1" applyFont="1" applyFill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" fillId="2" borderId="0" xfId="2"/>
    <xf numFmtId="0" fontId="2" fillId="2" borderId="0" xfId="2" applyAlignment="1">
      <alignment horizontal="center"/>
    </xf>
    <xf numFmtId="3" fontId="2" fillId="2" borderId="0" xfId="2" applyNumberFormat="1" applyAlignment="1">
      <alignment horizontal="center"/>
    </xf>
    <xf numFmtId="0" fontId="2" fillId="2" borderId="0" xfId="2" applyBorder="1" applyAlignment="1">
      <alignment horizontal="center"/>
    </xf>
    <xf numFmtId="9" fontId="2" fillId="2" borderId="0" xfId="2" applyNumberFormat="1" applyAlignment="1">
      <alignment horizontal="center"/>
    </xf>
    <xf numFmtId="1" fontId="2" fillId="2" borderId="0" xfId="2" applyNumberFormat="1" applyAlignment="1">
      <alignment horizontal="center"/>
    </xf>
    <xf numFmtId="0" fontId="2" fillId="2" borderId="0" xfId="2" applyBorder="1"/>
    <xf numFmtId="0" fontId="2" fillId="2" borderId="1" xfId="2" applyBorder="1" applyAlignment="1">
      <alignment horizontal="center"/>
    </xf>
    <xf numFmtId="0" fontId="9" fillId="10" borderId="0" xfId="0" applyFont="1" applyFill="1"/>
    <xf numFmtId="0" fontId="9" fillId="5" borderId="45" xfId="5" applyFont="1" applyBorder="1" applyAlignment="1">
      <alignment horizontal="center"/>
    </xf>
    <xf numFmtId="0" fontId="29" fillId="0" borderId="0" xfId="2" applyFont="1" applyFill="1" applyAlignment="1">
      <alignment horizontal="center" wrapText="1"/>
    </xf>
    <xf numFmtId="0" fontId="2" fillId="0" borderId="0" xfId="2" applyFill="1" applyBorder="1" applyAlignment="1">
      <alignment horizontal="center"/>
    </xf>
    <xf numFmtId="0" fontId="2" fillId="0" borderId="0" xfId="2" applyFill="1" applyBorder="1"/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9" fontId="0" fillId="0" borderId="16" xfId="1" applyFont="1" applyBorder="1" applyAlignment="1">
      <alignment horizontal="left"/>
    </xf>
    <xf numFmtId="9" fontId="0" fillId="0" borderId="17" xfId="1" applyFont="1" applyBorder="1" applyAlignment="1">
      <alignment horizontal="left"/>
    </xf>
    <xf numFmtId="9" fontId="0" fillId="0" borderId="0" xfId="1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3" fontId="9" fillId="0" borderId="16" xfId="0" applyNumberFormat="1" applyFont="1" applyBorder="1" applyAlignment="1">
      <alignment horizontal="right" indent="1"/>
    </xf>
    <xf numFmtId="9" fontId="0" fillId="0" borderId="17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3" fontId="9" fillId="0" borderId="29" xfId="0" applyNumberFormat="1" applyFon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9" fontId="0" fillId="0" borderId="29" xfId="1" applyFont="1" applyBorder="1" applyAlignment="1">
      <alignment horizontal="left"/>
    </xf>
    <xf numFmtId="0" fontId="0" fillId="0" borderId="31" xfId="0" applyBorder="1" applyAlignment="1">
      <alignment horizontal="center"/>
    </xf>
    <xf numFmtId="9" fontId="0" fillId="0" borderId="33" xfId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6" xfId="0" applyNumberFormat="1" applyBorder="1"/>
    <xf numFmtId="49" fontId="0" fillId="0" borderId="0" xfId="0" applyNumberFormat="1"/>
    <xf numFmtId="49" fontId="0" fillId="0" borderId="30" xfId="0" applyNumberFormat="1" applyBorder="1"/>
    <xf numFmtId="0" fontId="0" fillId="0" borderId="42" xfId="0" applyBorder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3" fontId="27" fillId="7" borderId="0" xfId="0" applyNumberFormat="1" applyFont="1" applyFill="1" applyAlignment="1">
      <alignment horizontal="center" vertical="center"/>
    </xf>
    <xf numFmtId="49" fontId="9" fillId="7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1" fillId="0" borderId="0" xfId="2" applyFont="1" applyFill="1" applyBorder="1"/>
    <xf numFmtId="0" fontId="31" fillId="0" borderId="0" xfId="3" applyFont="1" applyFill="1" applyBorder="1" applyAlignment="1">
      <alignment horizontal="center"/>
    </xf>
    <xf numFmtId="3" fontId="31" fillId="0" borderId="0" xfId="5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5" applyFont="1" applyFill="1" applyBorder="1" applyAlignment="1">
      <alignment horizontal="center"/>
    </xf>
    <xf numFmtId="9" fontId="31" fillId="0" borderId="0" xfId="1" applyFont="1" applyFill="1" applyBorder="1" applyAlignment="1">
      <alignment horizontal="center"/>
    </xf>
    <xf numFmtId="1" fontId="31" fillId="0" borderId="0" xfId="0" applyNumberFormat="1" applyFont="1" applyAlignment="1">
      <alignment horizontal="center"/>
    </xf>
    <xf numFmtId="0" fontId="31" fillId="0" borderId="0" xfId="0" applyFont="1"/>
    <xf numFmtId="164" fontId="9" fillId="0" borderId="0" xfId="0" applyNumberFormat="1" applyFont="1" applyAlignment="1">
      <alignment horizontal="center"/>
    </xf>
    <xf numFmtId="0" fontId="6" fillId="10" borderId="1" xfId="5" applyFont="1" applyFill="1" applyAlignment="1">
      <alignment horizontal="center"/>
    </xf>
    <xf numFmtId="0" fontId="9" fillId="2" borderId="0" xfId="2" applyFont="1" applyAlignment="1">
      <alignment horizontal="center"/>
    </xf>
    <xf numFmtId="0" fontId="36" fillId="8" borderId="11" xfId="0" applyFont="1" applyFill="1" applyBorder="1" applyAlignment="1">
      <alignment horizontal="left"/>
    </xf>
    <xf numFmtId="0" fontId="7" fillId="0" borderId="49" xfId="0" applyFont="1" applyBorder="1" applyAlignment="1">
      <alignment horizontal="right"/>
    </xf>
    <xf numFmtId="0" fontId="37" fillId="0" borderId="49" xfId="0" applyFont="1" applyBorder="1" applyAlignment="1">
      <alignment horizontal="right"/>
    </xf>
    <xf numFmtId="0" fontId="37" fillId="0" borderId="49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3" fontId="39" fillId="0" borderId="50" xfId="0" applyNumberFormat="1" applyFont="1" applyBorder="1"/>
    <xf numFmtId="3" fontId="39" fillId="0" borderId="49" xfId="0" applyNumberFormat="1" applyFont="1" applyBorder="1"/>
    <xf numFmtId="3" fontId="0" fillId="0" borderId="49" xfId="0" applyNumberFormat="1" applyBorder="1"/>
    <xf numFmtId="3" fontId="0" fillId="0" borderId="51" xfId="0" applyNumberFormat="1" applyBorder="1"/>
    <xf numFmtId="0" fontId="0" fillId="0" borderId="41" xfId="0" applyBorder="1"/>
    <xf numFmtId="0" fontId="0" fillId="0" borderId="50" xfId="0" applyBorder="1" applyAlignment="1">
      <alignment horizontal="right"/>
    </xf>
    <xf numFmtId="0" fontId="0" fillId="0" borderId="49" xfId="0" applyBorder="1"/>
    <xf numFmtId="0" fontId="0" fillId="0" borderId="49" xfId="0" applyBorder="1" applyAlignment="1">
      <alignment horizontal="right"/>
    </xf>
    <xf numFmtId="1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3" fontId="0" fillId="0" borderId="52" xfId="0" applyNumberFormat="1" applyBorder="1"/>
    <xf numFmtId="3" fontId="0" fillId="0" borderId="53" xfId="0" applyNumberFormat="1" applyBorder="1"/>
    <xf numFmtId="3" fontId="0" fillId="11" borderId="53" xfId="0" applyNumberFormat="1" applyFill="1" applyBorder="1"/>
    <xf numFmtId="3" fontId="0" fillId="0" borderId="54" xfId="0" applyNumberFormat="1" applyBorder="1"/>
    <xf numFmtId="0" fontId="0" fillId="0" borderId="50" xfId="0" applyBorder="1"/>
    <xf numFmtId="0" fontId="37" fillId="0" borderId="50" xfId="0" applyFont="1" applyBorder="1" applyAlignment="1">
      <alignment horizontal="right"/>
    </xf>
    <xf numFmtId="3" fontId="0" fillId="0" borderId="50" xfId="0" applyNumberFormat="1" applyBorder="1"/>
    <xf numFmtId="0" fontId="7" fillId="0" borderId="55" xfId="0" applyFont="1" applyBorder="1" applyAlignment="1">
      <alignment horizontal="right"/>
    </xf>
    <xf numFmtId="0" fontId="37" fillId="0" borderId="56" xfId="0" applyFont="1" applyBorder="1" applyAlignment="1">
      <alignment horizontal="right"/>
    </xf>
    <xf numFmtId="0" fontId="37" fillId="0" borderId="56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30" xfId="0" applyBorder="1"/>
    <xf numFmtId="0" fontId="0" fillId="0" borderId="56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0" fillId="0" borderId="58" xfId="0" applyBorder="1" applyAlignment="1">
      <alignment horizontal="center"/>
    </xf>
    <xf numFmtId="0" fontId="0" fillId="0" borderId="59" xfId="0" applyBorder="1"/>
    <xf numFmtId="0" fontId="7" fillId="0" borderId="60" xfId="0" applyFont="1" applyBorder="1"/>
    <xf numFmtId="0" fontId="40" fillId="0" borderId="61" xfId="0" applyFont="1" applyBorder="1"/>
    <xf numFmtId="0" fontId="7" fillId="0" borderId="61" xfId="0" applyFont="1" applyBorder="1"/>
    <xf numFmtId="0" fontId="40" fillId="0" borderId="62" xfId="0" applyFont="1" applyBorder="1"/>
    <xf numFmtId="0" fontId="40" fillId="0" borderId="30" xfId="0" applyFont="1" applyBorder="1"/>
    <xf numFmtId="0" fontId="36" fillId="0" borderId="20" xfId="0" applyFont="1" applyBorder="1" applyAlignment="1">
      <alignment horizontal="left"/>
    </xf>
    <xf numFmtId="0" fontId="36" fillId="8" borderId="63" xfId="0" applyFont="1" applyFill="1" applyBorder="1" applyAlignment="1">
      <alignment horizontal="left"/>
    </xf>
    <xf numFmtId="0" fontId="36" fillId="0" borderId="63" xfId="0" applyFont="1" applyBorder="1" applyAlignment="1">
      <alignment horizontal="left"/>
    </xf>
    <xf numFmtId="3" fontId="0" fillId="0" borderId="63" xfId="0" applyNumberFormat="1" applyBorder="1"/>
    <xf numFmtId="3" fontId="0" fillId="0" borderId="63" xfId="0" applyNumberFormat="1" applyBorder="1" applyAlignment="1">
      <alignment horizontal="center"/>
    </xf>
    <xf numFmtId="3" fontId="38" fillId="0" borderId="63" xfId="0" applyNumberFormat="1" applyFont="1" applyBorder="1" applyAlignment="1">
      <alignment horizontal="center"/>
    </xf>
    <xf numFmtId="3" fontId="12" fillId="0" borderId="63" xfId="0" applyNumberFormat="1" applyFont="1" applyBorder="1"/>
    <xf numFmtId="3" fontId="12" fillId="0" borderId="64" xfId="0" applyNumberFormat="1" applyFont="1" applyBorder="1"/>
    <xf numFmtId="3" fontId="12" fillId="0" borderId="65" xfId="0" applyNumberFormat="1" applyFont="1" applyBorder="1"/>
    <xf numFmtId="3" fontId="12" fillId="0" borderId="58" xfId="0" applyNumberFormat="1" applyFont="1" applyBorder="1"/>
    <xf numFmtId="3" fontId="12" fillId="0" borderId="59" xfId="0" applyNumberFormat="1" applyFont="1" applyBorder="1"/>
    <xf numFmtId="0" fontId="12" fillId="0" borderId="41" xfId="0" applyFont="1" applyBorder="1"/>
    <xf numFmtId="0" fontId="42" fillId="0" borderId="50" xfId="0" applyFont="1" applyBorder="1" applyAlignment="1">
      <alignment horizontal="left"/>
    </xf>
    <xf numFmtId="0" fontId="12" fillId="0" borderId="0" xfId="0" applyFont="1"/>
    <xf numFmtId="0" fontId="12" fillId="0" borderId="49" xfId="0" applyFont="1" applyBorder="1"/>
    <xf numFmtId="3" fontId="38" fillId="0" borderId="53" xfId="0" applyNumberFormat="1" applyFont="1" applyBorder="1" applyAlignment="1">
      <alignment horizontal="left"/>
    </xf>
    <xf numFmtId="2" fontId="0" fillId="0" borderId="49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43" fillId="0" borderId="52" xfId="0" applyFont="1" applyBorder="1"/>
    <xf numFmtId="0" fontId="44" fillId="0" borderId="53" xfId="0" applyFont="1" applyBorder="1"/>
    <xf numFmtId="3" fontId="43" fillId="0" borderId="53" xfId="0" applyNumberFormat="1" applyFont="1" applyBorder="1"/>
    <xf numFmtId="3" fontId="43" fillId="0" borderId="52" xfId="0" applyNumberFormat="1" applyFont="1" applyBorder="1"/>
    <xf numFmtId="0" fontId="44" fillId="0" borderId="54" xfId="0" applyFont="1" applyBorder="1"/>
    <xf numFmtId="0" fontId="7" fillId="0" borderId="55" xfId="0" applyFont="1" applyBorder="1"/>
    <xf numFmtId="0" fontId="0" fillId="11" borderId="49" xfId="0" applyFill="1" applyBorder="1"/>
    <xf numFmtId="0" fontId="0" fillId="10" borderId="49" xfId="0" applyFill="1" applyBorder="1"/>
    <xf numFmtId="0" fontId="0" fillId="0" borderId="67" xfId="0" applyBorder="1"/>
    <xf numFmtId="0" fontId="0" fillId="0" borderId="51" xfId="0" applyBorder="1"/>
    <xf numFmtId="3" fontId="7" fillId="0" borderId="49" xfId="0" applyNumberFormat="1" applyFont="1" applyBorder="1" applyAlignment="1">
      <alignment horizontal="center"/>
    </xf>
    <xf numFmtId="0" fontId="0" fillId="0" borderId="55" xfId="0" applyBorder="1"/>
    <xf numFmtId="1" fontId="21" fillId="0" borderId="49" xfId="0" applyNumberFormat="1" applyFont="1" applyBorder="1" applyAlignment="1">
      <alignment horizontal="center"/>
    </xf>
    <xf numFmtId="1" fontId="0" fillId="12" borderId="49" xfId="0" applyNumberFormat="1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43" fillId="12" borderId="52" xfId="0" applyFont="1" applyFill="1" applyBorder="1"/>
    <xf numFmtId="0" fontId="44" fillId="12" borderId="53" xfId="0" applyFont="1" applyFill="1" applyBorder="1"/>
    <xf numFmtId="3" fontId="43" fillId="12" borderId="53" xfId="0" applyNumberFormat="1" applyFont="1" applyFill="1" applyBorder="1"/>
    <xf numFmtId="3" fontId="43" fillId="12" borderId="52" xfId="0" applyNumberFormat="1" applyFont="1" applyFill="1" applyBorder="1"/>
    <xf numFmtId="0" fontId="44" fillId="12" borderId="54" xfId="0" applyFont="1" applyFill="1" applyBorder="1"/>
    <xf numFmtId="0" fontId="7" fillId="12" borderId="55" xfId="0" applyFont="1" applyFill="1" applyBorder="1"/>
    <xf numFmtId="0" fontId="0" fillId="12" borderId="50" xfId="0" applyFill="1" applyBorder="1" applyAlignment="1">
      <alignment horizontal="right"/>
    </xf>
    <xf numFmtId="0" fontId="0" fillId="12" borderId="0" xfId="0" applyFill="1"/>
    <xf numFmtId="0" fontId="0" fillId="12" borderId="49" xfId="0" applyFill="1" applyBorder="1"/>
    <xf numFmtId="0" fontId="7" fillId="0" borderId="66" xfId="0" applyFont="1" applyBorder="1" applyAlignment="1">
      <alignment horizontal="right"/>
    </xf>
    <xf numFmtId="0" fontId="37" fillId="0" borderId="66" xfId="0" applyFont="1" applyBorder="1" applyAlignment="1">
      <alignment horizontal="right"/>
    </xf>
    <xf numFmtId="0" fontId="38" fillId="0" borderId="66" xfId="0" applyFon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1" fontId="21" fillId="0" borderId="66" xfId="0" applyNumberFormat="1" applyFon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66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45" fillId="0" borderId="49" xfId="0" applyFont="1" applyBorder="1" applyAlignment="1">
      <alignment horizontal="right"/>
    </xf>
    <xf numFmtId="0" fontId="0" fillId="13" borderId="49" xfId="0" applyFill="1" applyBorder="1"/>
    <xf numFmtId="164" fontId="0" fillId="0" borderId="66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1" fontId="0" fillId="0" borderId="53" xfId="0" applyNumberFormat="1" applyBorder="1"/>
    <xf numFmtId="0" fontId="0" fillId="14" borderId="0" xfId="0" applyFill="1"/>
    <xf numFmtId="0" fontId="21" fillId="0" borderId="49" xfId="0" applyFont="1" applyBorder="1" applyAlignment="1">
      <alignment horizontal="center"/>
    </xf>
    <xf numFmtId="1" fontId="0" fillId="0" borderId="0" xfId="0" applyNumberFormat="1"/>
    <xf numFmtId="0" fontId="0" fillId="0" borderId="56" xfId="0" applyBorder="1"/>
    <xf numFmtId="0" fontId="0" fillId="0" borderId="68" xfId="0" applyBorder="1"/>
    <xf numFmtId="0" fontId="0" fillId="0" borderId="69" xfId="0" applyBorder="1"/>
    <xf numFmtId="0" fontId="12" fillId="0" borderId="49" xfId="0" applyFont="1" applyBorder="1" applyAlignment="1">
      <alignment horizontal="right"/>
    </xf>
    <xf numFmtId="3" fontId="21" fillId="0" borderId="6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1" fontId="0" fillId="0" borderId="49" xfId="0" applyNumberFormat="1" applyBorder="1"/>
    <xf numFmtId="0" fontId="0" fillId="14" borderId="70" xfId="0" applyFill="1" applyBorder="1"/>
    <xf numFmtId="0" fontId="37" fillId="0" borderId="66" xfId="0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0" fontId="36" fillId="8" borderId="49" xfId="0" applyFont="1" applyFill="1" applyBorder="1" applyAlignment="1">
      <alignment horizontal="left"/>
    </xf>
    <xf numFmtId="164" fontId="21" fillId="0" borderId="49" xfId="0" applyNumberFormat="1" applyFont="1" applyBorder="1" applyAlignment="1">
      <alignment horizontal="center"/>
    </xf>
    <xf numFmtId="1" fontId="37" fillId="0" borderId="49" xfId="0" applyNumberFormat="1" applyFont="1" applyBorder="1" applyAlignment="1">
      <alignment horizontal="right"/>
    </xf>
    <xf numFmtId="2" fontId="0" fillId="0" borderId="49" xfId="0" applyNumberFormat="1" applyBorder="1"/>
    <xf numFmtId="0" fontId="38" fillId="0" borderId="49" xfId="0" applyFont="1" applyBorder="1" applyAlignment="1">
      <alignment horizontal="right"/>
    </xf>
    <xf numFmtId="0" fontId="46" fillId="0" borderId="49" xfId="0" applyFont="1" applyBorder="1" applyAlignment="1">
      <alignment horizontal="center"/>
    </xf>
    <xf numFmtId="0" fontId="43" fillId="0" borderId="49" xfId="0" applyFont="1" applyBorder="1" applyAlignment="1">
      <alignment horizontal="right"/>
    </xf>
    <xf numFmtId="3" fontId="45" fillId="0" borderId="49" xfId="0" applyNumberFormat="1" applyFon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3" fontId="13" fillId="7" borderId="71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left" vertical="center"/>
    </xf>
    <xf numFmtId="3" fontId="13" fillId="7" borderId="6" xfId="0" applyNumberFormat="1" applyFont="1" applyFill="1" applyBorder="1" applyAlignment="1">
      <alignment horizontal="left" vertical="center"/>
    </xf>
    <xf numFmtId="3" fontId="13" fillId="7" borderId="7" xfId="0" applyNumberFormat="1" applyFont="1" applyFill="1" applyBorder="1" applyAlignment="1">
      <alignment horizontal="left" vertical="center"/>
    </xf>
    <xf numFmtId="3" fontId="7" fillId="0" borderId="16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72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29" xfId="0" applyNumberFormat="1" applyBorder="1" applyAlignment="1">
      <alignment horizontal="center"/>
    </xf>
    <xf numFmtId="9" fontId="0" fillId="0" borderId="31" xfId="1" applyFont="1" applyBorder="1" applyAlignment="1">
      <alignment horizontal="left"/>
    </xf>
    <xf numFmtId="0" fontId="0" fillId="0" borderId="33" xfId="0" applyBorder="1" applyAlignment="1">
      <alignment horizontal="left" indent="1"/>
    </xf>
    <xf numFmtId="3" fontId="7" fillId="0" borderId="33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left"/>
    </xf>
    <xf numFmtId="3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 horizontal="left"/>
    </xf>
    <xf numFmtId="3" fontId="0" fillId="0" borderId="73" xfId="0" applyNumberFormat="1" applyBorder="1" applyAlignment="1">
      <alignment horizontal="left"/>
    </xf>
    <xf numFmtId="49" fontId="0" fillId="0" borderId="33" xfId="0" applyNumberFormat="1" applyBorder="1"/>
    <xf numFmtId="3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3" fontId="13" fillId="7" borderId="6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indent="1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left" indent="1"/>
    </xf>
    <xf numFmtId="3" fontId="0" fillId="0" borderId="22" xfId="0" applyNumberFormat="1" applyBorder="1" applyAlignment="1">
      <alignment horizontal="center"/>
    </xf>
    <xf numFmtId="9" fontId="0" fillId="0" borderId="23" xfId="1" applyFont="1" applyBorder="1" applyAlignment="1">
      <alignment horizontal="left"/>
    </xf>
    <xf numFmtId="0" fontId="0" fillId="0" borderId="26" xfId="0" applyBorder="1" applyAlignment="1">
      <alignment horizontal="center"/>
    </xf>
    <xf numFmtId="49" fontId="0" fillId="0" borderId="74" xfId="0" applyNumberFormat="1" applyBorder="1" applyAlignment="1">
      <alignment horizontal="left" indent="1"/>
    </xf>
    <xf numFmtId="3" fontId="0" fillId="0" borderId="74" xfId="0" applyNumberFormat="1" applyBorder="1" applyAlignment="1">
      <alignment horizontal="center"/>
    </xf>
    <xf numFmtId="9" fontId="0" fillId="0" borderId="75" xfId="1" applyFont="1" applyBorder="1" applyAlignment="1">
      <alignment horizontal="left"/>
    </xf>
    <xf numFmtId="3" fontId="8" fillId="6" borderId="2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3" fontId="8" fillId="6" borderId="43" xfId="0" applyNumberFormat="1" applyFont="1" applyFill="1" applyBorder="1" applyAlignment="1">
      <alignment horizontal="center"/>
    </xf>
    <xf numFmtId="3" fontId="26" fillId="6" borderId="0" xfId="0" applyNumberFormat="1" applyFont="1" applyFill="1"/>
    <xf numFmtId="0" fontId="0" fillId="0" borderId="0" xfId="0"/>
    <xf numFmtId="0" fontId="0" fillId="10" borderId="15" xfId="0" applyFill="1" applyBorder="1" applyAlignment="1">
      <alignment horizontal="center"/>
    </xf>
    <xf numFmtId="49" fontId="0" fillId="10" borderId="16" xfId="0" applyNumberFormat="1" applyFill="1" applyBorder="1" applyAlignment="1">
      <alignment horizontal="left" indent="1"/>
    </xf>
    <xf numFmtId="3" fontId="0" fillId="10" borderId="16" xfId="0" applyNumberFormat="1" applyFill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0" fontId="0" fillId="0" borderId="0" xfId="0"/>
    <xf numFmtId="9" fontId="0" fillId="10" borderId="17" xfId="1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left" indent="1"/>
    </xf>
    <xf numFmtId="3" fontId="0" fillId="0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10" borderId="0" xfId="0" applyFill="1"/>
    <xf numFmtId="0" fontId="9" fillId="0" borderId="0" xfId="0" applyFont="1" applyFill="1"/>
    <xf numFmtId="0" fontId="16" fillId="0" borderId="0" xfId="0" applyFont="1" applyAlignment="1">
      <alignment horizontal="left" vertical="top" wrapText="1"/>
    </xf>
    <xf numFmtId="0" fontId="0" fillId="0" borderId="0" xfId="0"/>
    <xf numFmtId="3" fontId="8" fillId="6" borderId="2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3" fontId="8" fillId="6" borderId="43" xfId="0" applyNumberFormat="1" applyFont="1" applyFill="1" applyBorder="1" applyAlignment="1">
      <alignment horizontal="center"/>
    </xf>
    <xf numFmtId="0" fontId="0" fillId="0" borderId="0" xfId="0"/>
    <xf numFmtId="0" fontId="9" fillId="10" borderId="0" xfId="0" applyFont="1" applyFill="1" applyAlignment="1">
      <alignment horizontal="center"/>
    </xf>
    <xf numFmtId="0" fontId="3" fillId="10" borderId="0" xfId="3" applyFill="1" applyBorder="1" applyAlignment="1">
      <alignment horizontal="center"/>
    </xf>
    <xf numFmtId="0" fontId="9" fillId="10" borderId="1" xfId="5" applyFont="1" applyFill="1" applyAlignment="1">
      <alignment horizontal="center"/>
    </xf>
    <xf numFmtId="1" fontId="9" fillId="5" borderId="1" xfId="5" applyNumberFormat="1" applyFont="1" applyAlignment="1">
      <alignment horizontal="center"/>
    </xf>
    <xf numFmtId="1" fontId="9" fillId="10" borderId="0" xfId="0" applyNumberFormat="1" applyFont="1" applyFill="1" applyAlignment="1">
      <alignment horizontal="center"/>
    </xf>
    <xf numFmtId="0" fontId="0" fillId="15" borderId="0" xfId="0" applyFill="1"/>
    <xf numFmtId="1" fontId="9" fillId="0" borderId="0" xfId="0" applyNumberFormat="1" applyFont="1" applyFill="1" applyAlignment="1">
      <alignment horizontal="center"/>
    </xf>
    <xf numFmtId="0" fontId="9" fillId="16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17" borderId="0" xfId="0" applyFont="1" applyFill="1"/>
    <xf numFmtId="3" fontId="9" fillId="7" borderId="71" xfId="0" applyNumberFormat="1" applyFont="1" applyFill="1" applyBorder="1" applyAlignment="1">
      <alignment horizontal="center" vertical="center"/>
    </xf>
    <xf numFmtId="3" fontId="13" fillId="7" borderId="6" xfId="0" applyNumberFormat="1" applyFont="1" applyFill="1" applyBorder="1" applyAlignment="1">
      <alignment horizontal="left" vertical="center" indent="1"/>
    </xf>
    <xf numFmtId="3" fontId="9" fillId="7" borderId="0" xfId="0" applyNumberFormat="1" applyFont="1" applyFill="1" applyBorder="1" applyAlignment="1">
      <alignment horizontal="center" vertical="center"/>
    </xf>
    <xf numFmtId="3" fontId="9" fillId="7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center" vertical="center"/>
    </xf>
    <xf numFmtId="3" fontId="27" fillId="7" borderId="0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43" xfId="0" applyNumberFormat="1" applyFont="1" applyFill="1" applyBorder="1" applyAlignment="1">
      <alignment horizontal="center" vertical="center"/>
    </xf>
    <xf numFmtId="3" fontId="10" fillId="10" borderId="0" xfId="5" applyNumberFormat="1" applyFont="1" applyFill="1" applyBorder="1" applyAlignment="1">
      <alignment horizontal="center"/>
    </xf>
    <xf numFmtId="3" fontId="19" fillId="8" borderId="9" xfId="0" applyNumberFormat="1" applyFont="1" applyFill="1" applyBorder="1" applyAlignment="1">
      <alignment horizontal="right" indent="1"/>
    </xf>
    <xf numFmtId="9" fontId="9" fillId="0" borderId="29" xfId="1" applyFont="1" applyBorder="1" applyAlignment="1">
      <alignment horizontal="left"/>
    </xf>
    <xf numFmtId="3" fontId="13" fillId="0" borderId="76" xfId="0" applyNumberFormat="1" applyFont="1" applyBorder="1" applyAlignment="1">
      <alignment horizontal="right" indent="1"/>
    </xf>
    <xf numFmtId="9" fontId="9" fillId="0" borderId="33" xfId="1" applyFont="1" applyBorder="1" applyAlignment="1">
      <alignment horizontal="left"/>
    </xf>
    <xf numFmtId="0" fontId="11" fillId="0" borderId="0" xfId="0" applyFont="1" applyFill="1" applyAlignment="1">
      <alignment horizontal="center" wrapText="1"/>
    </xf>
    <xf numFmtId="9" fontId="0" fillId="0" borderId="41" xfId="1" applyFont="1" applyBorder="1" applyAlignment="1">
      <alignment horizontal="left"/>
    </xf>
    <xf numFmtId="0" fontId="9" fillId="8" borderId="8" xfId="0" applyFont="1" applyFill="1" applyBorder="1" applyAlignment="1">
      <alignment horizontal="center"/>
    </xf>
    <xf numFmtId="0" fontId="9" fillId="8" borderId="0" xfId="0" applyFont="1" applyFill="1"/>
    <xf numFmtId="0" fontId="9" fillId="8" borderId="0" xfId="0" applyFont="1" applyFill="1" applyAlignment="1">
      <alignment horizontal="center"/>
    </xf>
    <xf numFmtId="3" fontId="13" fillId="8" borderId="9" xfId="0" applyNumberFormat="1" applyFont="1" applyFill="1" applyBorder="1" applyAlignment="1">
      <alignment horizontal="right" indent="1"/>
    </xf>
    <xf numFmtId="0" fontId="21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49" fontId="9" fillId="8" borderId="16" xfId="0" applyNumberFormat="1" applyFont="1" applyFill="1" applyBorder="1"/>
    <xf numFmtId="0" fontId="9" fillId="8" borderId="16" xfId="0" applyFont="1" applyFill="1" applyBorder="1" applyAlignment="1">
      <alignment horizontal="center"/>
    </xf>
    <xf numFmtId="3" fontId="13" fillId="8" borderId="16" xfId="0" applyNumberFormat="1" applyFont="1" applyFill="1" applyBorder="1" applyAlignment="1">
      <alignment horizontal="right" indent="1"/>
    </xf>
    <xf numFmtId="0" fontId="0" fillId="8" borderId="16" xfId="0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3" fillId="0" borderId="0" xfId="3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1" fillId="0" borderId="0" xfId="0" applyFont="1" applyFill="1"/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vertical="center"/>
    </xf>
    <xf numFmtId="3" fontId="8" fillId="6" borderId="2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3" fontId="18" fillId="0" borderId="35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3" fontId="8" fillId="6" borderId="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22" xfId="0" applyFont="1" applyBorder="1" applyAlignment="1">
      <alignment horizontal="left" indent="1"/>
    </xf>
    <xf numFmtId="0" fontId="16" fillId="0" borderId="23" xfId="0" applyFont="1" applyBorder="1" applyAlignment="1">
      <alignment horizontal="left" indent="1"/>
    </xf>
    <xf numFmtId="0" fontId="12" fillId="0" borderId="0" xfId="0" applyFont="1" applyFill="1" applyBorder="1" applyAlignment="1">
      <alignment horizontal="center" vertical="center" wrapText="1"/>
    </xf>
    <xf numFmtId="3" fontId="8" fillId="6" borderId="0" xfId="0" applyNumberFormat="1" applyFont="1" applyFill="1" applyBorder="1"/>
    <xf numFmtId="0" fontId="16" fillId="0" borderId="16" xfId="0" applyFont="1" applyBorder="1" applyAlignment="1">
      <alignment horizontal="left" indent="1"/>
    </xf>
    <xf numFmtId="0" fontId="16" fillId="0" borderId="17" xfId="0" applyFont="1" applyBorder="1" applyAlignment="1">
      <alignment horizontal="left" indent="1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8" fillId="0" borderId="16" xfId="0" applyFont="1" applyBorder="1" applyAlignment="1">
      <alignment horizontal="left" indent="1"/>
    </xf>
    <xf numFmtId="0" fontId="18" fillId="0" borderId="17" xfId="0" applyFont="1" applyBorder="1" applyAlignment="1">
      <alignment horizontal="left" indent="1"/>
    </xf>
    <xf numFmtId="0" fontId="16" fillId="0" borderId="0" xfId="0" applyFont="1" applyAlignment="1">
      <alignment horizontal="left" vertical="center" wrapText="1"/>
    </xf>
    <xf numFmtId="0" fontId="0" fillId="0" borderId="0" xfId="0"/>
    <xf numFmtId="3" fontId="8" fillId="6" borderId="0" xfId="0" applyNumberFormat="1" applyFont="1" applyFill="1"/>
    <xf numFmtId="0" fontId="12" fillId="0" borderId="0" xfId="0" applyFont="1" applyAlignment="1">
      <alignment horizontal="center" vertical="center" wrapText="1"/>
    </xf>
    <xf numFmtId="3" fontId="8" fillId="6" borderId="43" xfId="0" applyNumberFormat="1" applyFont="1" applyFill="1" applyBorder="1" applyAlignment="1">
      <alignment horizontal="center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79D1-36EB-41D9-BA54-FCD850FAC507}">
  <dimension ref="A1:AA57"/>
  <sheetViews>
    <sheetView showGridLines="0" topLeftCell="A16" zoomScaleNormal="100" workbookViewId="0">
      <selection activeCell="C23" sqref="C23"/>
    </sheetView>
  </sheetViews>
  <sheetFormatPr defaultRowHeight="21" customHeight="1" x14ac:dyDescent="0.25"/>
  <cols>
    <col min="1" max="1" width="9.140625" style="312"/>
    <col min="2" max="2" width="4.85546875" style="1" customWidth="1"/>
    <col min="3" max="3" width="54.42578125" customWidth="1"/>
    <col min="4" max="4" width="13.42578125" style="1" customWidth="1"/>
    <col min="5" max="5" width="16.42578125" style="338" customWidth="1"/>
    <col min="6" max="6" width="11.140625" style="1" customWidth="1"/>
    <col min="7" max="7" width="5.7109375" style="338" customWidth="1"/>
    <col min="8" max="8" width="4.85546875" style="1" customWidth="1"/>
    <col min="9" max="9" width="54.42578125" customWidth="1"/>
    <col min="10" max="10" width="13.42578125" style="1" customWidth="1"/>
    <col min="11" max="11" width="16.42578125" style="338" customWidth="1"/>
    <col min="12" max="12" width="11.140625" style="1" customWidth="1"/>
  </cols>
  <sheetData>
    <row r="1" spans="1:27" ht="9" customHeight="1" x14ac:dyDescent="0.25">
      <c r="A1" s="13"/>
      <c r="E1" s="1"/>
      <c r="G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 x14ac:dyDescent="0.3">
      <c r="A2" s="13"/>
      <c r="B2" s="423" t="s">
        <v>439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" customHeight="1" thickBot="1" x14ac:dyDescent="0.3">
      <c r="A3" s="13"/>
      <c r="E3" s="1"/>
      <c r="G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 x14ac:dyDescent="0.25">
      <c r="B4" s="313"/>
      <c r="C4" s="314" t="s">
        <v>469</v>
      </c>
      <c r="D4" s="339" t="s">
        <v>440</v>
      </c>
      <c r="E4" s="339" t="s">
        <v>441</v>
      </c>
      <c r="F4" s="316" t="s">
        <v>273</v>
      </c>
      <c r="H4" s="313"/>
      <c r="I4" s="314" t="s">
        <v>468</v>
      </c>
      <c r="J4" s="339" t="s">
        <v>440</v>
      </c>
      <c r="K4" s="339" t="s">
        <v>442</v>
      </c>
      <c r="L4" s="316" t="s">
        <v>273</v>
      </c>
    </row>
    <row r="5" spans="1:27" ht="21" customHeight="1" x14ac:dyDescent="0.25">
      <c r="B5" s="154"/>
      <c r="C5" s="340" t="s">
        <v>7</v>
      </c>
      <c r="D5" s="323">
        <f>+'RVK ÍB20'!G27-'RVK ÍB20'!H27</f>
        <v>176</v>
      </c>
      <c r="E5" s="323">
        <f>+SUM('RVK ÍB20'!V27:Z27)</f>
        <v>70.399999999999991</v>
      </c>
      <c r="F5" s="152">
        <f>+E5/D5</f>
        <v>0.39999999999999997</v>
      </c>
      <c r="H5" s="154"/>
      <c r="I5" s="340" t="s">
        <v>7</v>
      </c>
      <c r="J5" s="323">
        <f>+'RVK ANNAD HUSNÆDI'!G27-'RVK ANNAD HUSNÆDI'!H27</f>
        <v>1700</v>
      </c>
      <c r="K5" s="323">
        <f>+SUM('RVK ANNAD HUSNÆDI'!V27:Z27)</f>
        <v>0</v>
      </c>
      <c r="L5" s="152">
        <f>+K5/J5</f>
        <v>0</v>
      </c>
    </row>
    <row r="6" spans="1:27" ht="21" customHeight="1" x14ac:dyDescent="0.25">
      <c r="B6" s="154"/>
      <c r="C6" s="340" t="s">
        <v>373</v>
      </c>
      <c r="D6" s="323">
        <f>+SUM('RVK ÍB20'!G28:G29)-SUM('RVK ÍB20'!H28:H29)</f>
        <v>330</v>
      </c>
      <c r="E6" s="323">
        <f>+SUM('RVK ÍB20'!V28:Z29)</f>
        <v>170</v>
      </c>
      <c r="F6" s="152">
        <f t="shared" ref="F6:F36" si="0">+E6/D6</f>
        <v>0.51515151515151514</v>
      </c>
      <c r="H6" s="154"/>
      <c r="I6" s="340" t="s">
        <v>14</v>
      </c>
      <c r="J6" s="323">
        <f>+'RVK ANNAD HUSNÆDI'!G33-'RVK ANNAD HUSNÆDI'!H33</f>
        <v>1400</v>
      </c>
      <c r="K6" s="323">
        <f>+SUM('RVK ANNAD HUSNÆDI'!V33:Z33)</f>
        <v>1400</v>
      </c>
      <c r="L6" s="152">
        <f t="shared" ref="L6:L37" si="1">+K6/J6</f>
        <v>1</v>
      </c>
    </row>
    <row r="7" spans="1:27" ht="21" customHeight="1" x14ac:dyDescent="0.25">
      <c r="B7" s="154"/>
      <c r="C7" s="340" t="s">
        <v>14</v>
      </c>
      <c r="D7" s="323">
        <f>+'RVK ÍB20'!G33</f>
        <v>84</v>
      </c>
      <c r="E7" s="323">
        <f>+SUM('RVK ÍB20'!V33:Z33)</f>
        <v>84</v>
      </c>
      <c r="F7" s="152">
        <f t="shared" si="0"/>
        <v>1</v>
      </c>
      <c r="H7" s="154"/>
      <c r="I7" s="340" t="s">
        <v>443</v>
      </c>
      <c r="J7" s="323">
        <f>+SUM('RVK ANNAD HUSNÆDI'!G36:G38)-SUM('RVK ANNAD HUSNÆDI'!H36:H38)</f>
        <v>60000</v>
      </c>
      <c r="K7" s="323">
        <f>+SUM('RVK ANNAD HUSNÆDI'!V36:Z38)</f>
        <v>4000</v>
      </c>
      <c r="L7" s="152">
        <f t="shared" si="1"/>
        <v>6.6666666666666666E-2</v>
      </c>
    </row>
    <row r="8" spans="1:27" ht="21" customHeight="1" x14ac:dyDescent="0.25">
      <c r="B8" s="154"/>
      <c r="C8" s="340" t="s">
        <v>444</v>
      </c>
      <c r="D8" s="323">
        <f>+'RVK ÍB20'!G40-'RVK ÍB20'!H40</f>
        <v>69</v>
      </c>
      <c r="E8" s="323">
        <f>+SUM('RVK ÍB20'!V40:Z40)</f>
        <v>69</v>
      </c>
      <c r="F8" s="152">
        <f t="shared" si="0"/>
        <v>1</v>
      </c>
      <c r="H8" s="154"/>
      <c r="I8" s="340" t="s">
        <v>471</v>
      </c>
      <c r="J8" s="323">
        <f>+'RVK ANNAD HUSNÆDI'!G75</f>
        <v>1200</v>
      </c>
      <c r="K8" s="323">
        <f>+SUM('RVK ANNAD HUSNÆDI'!V75:Z75)</f>
        <v>1200</v>
      </c>
      <c r="L8" s="152">
        <f t="shared" si="1"/>
        <v>1</v>
      </c>
    </row>
    <row r="9" spans="1:27" ht="21" customHeight="1" x14ac:dyDescent="0.25">
      <c r="B9" s="154"/>
      <c r="C9" s="340" t="s">
        <v>29</v>
      </c>
      <c r="D9" s="323">
        <f>+'RVK ÍB20'!G45-'RVK ÍB20'!H45</f>
        <v>690</v>
      </c>
      <c r="E9" s="323">
        <f>+SUM('RVK ÍB20'!V45:Z45)</f>
        <v>80</v>
      </c>
      <c r="F9" s="152">
        <f t="shared" si="0"/>
        <v>0.11594202898550725</v>
      </c>
      <c r="H9" s="154"/>
      <c r="I9" s="340" t="s">
        <v>445</v>
      </c>
      <c r="J9" s="323">
        <f>+'RVK ANNAD HUSNÆDI'!G39-'RVK ANNAD HUSNÆDI'!H39</f>
        <v>0</v>
      </c>
      <c r="K9" s="323">
        <f>+SUM('RVK ANNAD HUSNÆDI'!V39:Z39)</f>
        <v>6600</v>
      </c>
      <c r="L9" s="152" t="e">
        <f t="shared" si="1"/>
        <v>#DIV/0!</v>
      </c>
    </row>
    <row r="10" spans="1:27" ht="21" customHeight="1" x14ac:dyDescent="0.25">
      <c r="B10" s="154"/>
      <c r="C10" s="340" t="s">
        <v>446</v>
      </c>
      <c r="D10" s="323">
        <f>+SUM('RVK ÍB20'!G47:G48)-SUM('RVK ÍB20'!H47:H48)</f>
        <v>296</v>
      </c>
      <c r="E10" s="323">
        <f>+SUM('RVK ÍB20'!V47:Z48)</f>
        <v>130</v>
      </c>
      <c r="F10" s="152">
        <f t="shared" si="0"/>
        <v>0.4391891891891892</v>
      </c>
      <c r="H10" s="154"/>
      <c r="I10" s="340" t="s">
        <v>25</v>
      </c>
      <c r="J10" s="323">
        <f>+'RVK ANNAD HUSNÆDI'!G43-'RVK ANNAD HUSNÆDI'!H43</f>
        <v>40500</v>
      </c>
      <c r="K10" s="323">
        <f>+SUM('RVK ANNAD HUSNÆDI'!V43:Z43)</f>
        <v>25500</v>
      </c>
      <c r="L10" s="152">
        <f t="shared" si="1"/>
        <v>0.62962962962962965</v>
      </c>
    </row>
    <row r="11" spans="1:27" ht="21" customHeight="1" x14ac:dyDescent="0.25">
      <c r="B11" s="154"/>
      <c r="C11" s="340" t="s">
        <v>324</v>
      </c>
      <c r="D11" s="323">
        <f>+SUM('RVK ÍB20'!G51:G55)-SUM('RVK ÍB20'!H51:H55)</f>
        <v>420</v>
      </c>
      <c r="E11" s="323">
        <f>+SUM('RVK ÍB20'!V51:Z55)</f>
        <v>353</v>
      </c>
      <c r="F11" s="152">
        <f t="shared" si="0"/>
        <v>0.84047619047619049</v>
      </c>
      <c r="H11" s="154"/>
      <c r="I11" s="340" t="s">
        <v>29</v>
      </c>
      <c r="J11" s="323">
        <f>+'RVK ANNAD HUSNÆDI'!G47-'RVK ANNAD HUSNÆDI'!H47</f>
        <v>10000</v>
      </c>
      <c r="K11" s="323">
        <f>+SUM('RVK ANNAD HUSNÆDI'!V47:Z47)</f>
        <v>0</v>
      </c>
      <c r="L11" s="152">
        <f t="shared" si="1"/>
        <v>0</v>
      </c>
    </row>
    <row r="12" spans="1:27" ht="21" customHeight="1" x14ac:dyDescent="0.25">
      <c r="B12" s="154"/>
      <c r="C12" s="340" t="s">
        <v>447</v>
      </c>
      <c r="D12" s="323">
        <f>+SUM('RVK ÍB20'!G67:G68)-SUM('RVK ÍB20'!H67:H68)</f>
        <v>96</v>
      </c>
      <c r="E12" s="323">
        <f>+SUM('RVK ÍB20'!V67:Z68)</f>
        <v>96</v>
      </c>
      <c r="F12" s="152">
        <f t="shared" si="0"/>
        <v>1</v>
      </c>
      <c r="H12" s="154"/>
      <c r="I12" s="340" t="s">
        <v>324</v>
      </c>
      <c r="J12" s="323">
        <f>+SUM('RVK ANNAD HUSNÆDI'!G54:G58)-SUM('RVK ANNAD HUSNÆDI'!H54:H58)</f>
        <v>22600</v>
      </c>
      <c r="K12" s="323">
        <f>+SUM('RVK ANNAD HUSNÆDI'!V54:Z58)</f>
        <v>3800</v>
      </c>
      <c r="L12" s="152">
        <f t="shared" si="1"/>
        <v>0.16814159292035399</v>
      </c>
    </row>
    <row r="13" spans="1:27" ht="21" customHeight="1" x14ac:dyDescent="0.25">
      <c r="B13" s="154"/>
      <c r="C13" s="340" t="s">
        <v>448</v>
      </c>
      <c r="D13" s="323">
        <f>+'RVK ÍB20'!G72-'RVK ÍB20'!H72</f>
        <v>49</v>
      </c>
      <c r="E13" s="323">
        <f>+SUM('RVK ÍB20'!V72:Z72)</f>
        <v>49</v>
      </c>
      <c r="F13" s="152">
        <f t="shared" si="0"/>
        <v>1</v>
      </c>
      <c r="H13" s="154"/>
      <c r="I13" s="340" t="s">
        <v>40</v>
      </c>
      <c r="J13" s="323">
        <f>+'RVK ANNAD HUSNÆDI'!G59-'RVK ANNAD HUSNÆDI'!H59</f>
        <v>0</v>
      </c>
      <c r="K13" s="323">
        <f>+SUM('RVK ANNAD HUSNÆDI'!V59:Z59)</f>
        <v>35700</v>
      </c>
      <c r="L13" s="152" t="e">
        <f t="shared" si="1"/>
        <v>#DIV/0!</v>
      </c>
    </row>
    <row r="14" spans="1:27" ht="21" customHeight="1" x14ac:dyDescent="0.25">
      <c r="B14" s="154"/>
      <c r="C14" s="340" t="s">
        <v>75</v>
      </c>
      <c r="D14" s="323">
        <f>+'RVK ÍB20'!G88-'RVK ÍB20'!H88</f>
        <v>119</v>
      </c>
      <c r="E14" s="323">
        <f>+SUM('RVK ÍB20'!V88:Z88)</f>
        <v>119</v>
      </c>
      <c r="F14" s="152">
        <f t="shared" si="0"/>
        <v>1</v>
      </c>
      <c r="H14" s="154"/>
      <c r="I14" s="340" t="s">
        <v>449</v>
      </c>
      <c r="J14" s="323">
        <f>+SUM('RVK ANNAD HUSNÆDI'!G61,'RVK ANNAD HUSNÆDI'!G64,'RVK ANNAD HUSNÆDI'!G84:G85)-SUM('RVK ANNAD HUSNÆDI'!H61,'RVK ANNAD HUSNÆDI'!H64,'RVK ANNAD HUSNÆDI'!H84:H85)</f>
        <v>12400</v>
      </c>
      <c r="K14" s="323">
        <f>+SUM('RVK ANNAD HUSNÆDI'!V61:Z61,'RVK ANNAD HUSNÆDI'!V64:Z64,'RVK ANNAD HUSNÆDI'!V84:Z85)</f>
        <v>7400</v>
      </c>
      <c r="L14" s="152">
        <f t="shared" si="1"/>
        <v>0.59677419354838712</v>
      </c>
    </row>
    <row r="15" spans="1:27" ht="21" customHeight="1" x14ac:dyDescent="0.25">
      <c r="B15" s="154"/>
      <c r="C15" s="340" t="s">
        <v>450</v>
      </c>
      <c r="D15" s="323">
        <f>+'RVK ÍB20'!G89</f>
        <v>160</v>
      </c>
      <c r="E15" s="323">
        <f>+SUM('RVK ÍB20'!V89:Z89)</f>
        <v>160</v>
      </c>
      <c r="F15" s="152">
        <f t="shared" si="0"/>
        <v>1</v>
      </c>
      <c r="H15" s="154"/>
      <c r="I15" s="340" t="s">
        <v>447</v>
      </c>
      <c r="J15" s="323">
        <f>+'RVK ANNAD HUSNÆDI'!G72-'RVK ANNAD HUSNÆDI'!H72</f>
        <v>12000</v>
      </c>
      <c r="K15" s="323">
        <f>+SUM('RVK ANNAD HUSNÆDI'!V72:Z72)</f>
        <v>12000</v>
      </c>
      <c r="L15" s="152">
        <f t="shared" si="1"/>
        <v>1</v>
      </c>
    </row>
    <row r="16" spans="1:27" ht="21" customHeight="1" x14ac:dyDescent="0.25">
      <c r="B16" s="154"/>
      <c r="C16" s="340" t="s">
        <v>484</v>
      </c>
      <c r="D16" s="323">
        <f>+'RVK ÍB20'!G124+'RVK ÍB20'!G125-'RVK ÍB20'!H124-'RVK ÍB20'!H125</f>
        <v>1000</v>
      </c>
      <c r="E16" s="323">
        <f>+SUM('RVK ÍB20'!V124:Z125)</f>
        <v>119.58333333333331</v>
      </c>
      <c r="F16" s="152">
        <f t="shared" si="0"/>
        <v>0.11958333333333332</v>
      </c>
      <c r="H16" s="154"/>
      <c r="I16" s="340" t="s">
        <v>448</v>
      </c>
      <c r="J16" s="323">
        <f>+SUM('RVK ANNAD HUSNÆDI'!G76:G78)-SUM('RVK ANNAD HUSNÆDI'!H76:H78)</f>
        <v>20000</v>
      </c>
      <c r="K16" s="323">
        <f>+SUM('RVK ANNAD HUSNÆDI'!V76:Z78)</f>
        <v>300</v>
      </c>
      <c r="L16" s="152">
        <f t="shared" si="1"/>
        <v>1.4999999999999999E-2</v>
      </c>
    </row>
    <row r="17" spans="1:27" ht="21" customHeight="1" x14ac:dyDescent="0.25">
      <c r="A17" s="312" t="s">
        <v>485</v>
      </c>
      <c r="B17" s="354"/>
      <c r="C17" s="355" t="s">
        <v>87</v>
      </c>
      <c r="D17" s="356">
        <f>+'RVK ÍB20'!G98</f>
        <v>0</v>
      </c>
      <c r="E17" s="356">
        <f>+SUM('RVK ÍB20'!V98:Z98)</f>
        <v>0</v>
      </c>
      <c r="F17" s="359"/>
      <c r="H17" s="154"/>
      <c r="I17" s="340" t="s">
        <v>451</v>
      </c>
      <c r="J17" s="323">
        <f>+SUM('RVK ANNAD HUSNÆDI'!G80:G83)-SUM('RVK ANNAD HUSNÆDI'!H80:H83)</f>
        <v>166600</v>
      </c>
      <c r="K17" s="323">
        <f>+SUM('RVK ANNAD HUSNÆDI'!V80:Z83)</f>
        <v>58000</v>
      </c>
      <c r="L17" s="152">
        <f t="shared" si="1"/>
        <v>0.34813925570228094</v>
      </c>
    </row>
    <row r="18" spans="1:27" ht="21" customHeight="1" x14ac:dyDescent="0.25">
      <c r="B18" s="154"/>
      <c r="C18" s="340" t="s">
        <v>452</v>
      </c>
      <c r="D18" s="323">
        <f>+'RVK ÍB20'!G100</f>
        <v>65</v>
      </c>
      <c r="E18" s="323">
        <f>+SUM('RVK ÍB20'!V100:Z100)</f>
        <v>65</v>
      </c>
      <c r="F18" s="152">
        <f t="shared" si="0"/>
        <v>1</v>
      </c>
      <c r="H18" s="154"/>
      <c r="I18" s="340" t="s">
        <v>94</v>
      </c>
      <c r="J18" s="323">
        <f>+'RVK ANNAD HUSNÆDI'!G115-'RVK ANNAD HUSNÆDI'!H115</f>
        <v>40100</v>
      </c>
      <c r="K18" s="323">
        <f>+SUM('RVK ANNAD HUSNÆDI'!V115:Z115)</f>
        <v>8650</v>
      </c>
      <c r="L18" s="152">
        <f t="shared" si="1"/>
        <v>0.21571072319201995</v>
      </c>
    </row>
    <row r="19" spans="1:27" ht="21" customHeight="1" x14ac:dyDescent="0.25">
      <c r="B19" s="154"/>
      <c r="C19" s="340" t="s">
        <v>94</v>
      </c>
      <c r="D19" s="323">
        <f>+SUM('RVK ÍB20'!G105:G106)-SUM('RVK ÍB20'!H105:H106)</f>
        <v>359</v>
      </c>
      <c r="E19" s="323">
        <f>+SUM('RVK ÍB20'!V105:Z106)</f>
        <v>234</v>
      </c>
      <c r="F19" s="152">
        <f t="shared" si="0"/>
        <v>0.65181058495821731</v>
      </c>
      <c r="H19" s="154"/>
      <c r="I19" s="340" t="s">
        <v>383</v>
      </c>
      <c r="J19" s="323">
        <f>+'RVK ANNAD HUSNÆDI'!G126-'RVK ANNAD HUSNÆDI'!H126</f>
        <v>100</v>
      </c>
      <c r="K19" s="323">
        <f>+SUM('RVK ANNAD HUSNÆDI'!V126:Z126)</f>
        <v>-2950</v>
      </c>
      <c r="L19" s="152"/>
    </row>
    <row r="20" spans="1:27" ht="21" customHeight="1" x14ac:dyDescent="0.25">
      <c r="B20" s="154"/>
      <c r="C20" s="340" t="s">
        <v>383</v>
      </c>
      <c r="D20" s="323">
        <f>+'RVK ÍB20'!G115-'RVK ÍB20'!H115</f>
        <v>204</v>
      </c>
      <c r="E20" s="323">
        <f>+SUM('RVK ÍB20'!V115:Z115)</f>
        <v>140.47169811320757</v>
      </c>
      <c r="F20" s="152">
        <f t="shared" si="0"/>
        <v>0.68858675545689985</v>
      </c>
      <c r="H20" s="154"/>
      <c r="I20" s="340" t="s">
        <v>113</v>
      </c>
      <c r="J20" s="323">
        <f>+'RVK ANNAD HUSNÆDI'!G133-'RVK ANNAD HUSNÆDI'!H133</f>
        <v>36344</v>
      </c>
      <c r="K20" s="323">
        <f>+SUM('RVK ANNAD HUSNÆDI'!V133:Z133)</f>
        <v>12000</v>
      </c>
      <c r="L20" s="152">
        <f t="shared" si="1"/>
        <v>0.33017829627999118</v>
      </c>
    </row>
    <row r="21" spans="1:27" ht="21" customHeight="1" x14ac:dyDescent="0.25">
      <c r="B21" s="154"/>
      <c r="C21" s="340" t="s">
        <v>107</v>
      </c>
      <c r="D21" s="323">
        <f>+'RVK ÍB20'!G116-'RVK ÍB20'!H116</f>
        <v>349</v>
      </c>
      <c r="E21" s="323">
        <f>+SUM('RVK ÍB20'!V116:Z116)</f>
        <v>210</v>
      </c>
      <c r="F21" s="152">
        <f t="shared" si="0"/>
        <v>0.60171919770773641</v>
      </c>
      <c r="H21" s="360"/>
      <c r="I21" s="361" t="s">
        <v>390</v>
      </c>
      <c r="J21" s="362">
        <f>+SUM('RVK ANNAD HUSNÆDI'!G135:G136)-SUM('RVK ANNAD HUSNÆDI'!H135:H136)</f>
        <v>50000</v>
      </c>
      <c r="K21" s="363">
        <f>+SUM('RVK ANNAD HUSNÆDI'!V135:Z136)</f>
        <v>-7000</v>
      </c>
      <c r="L21" s="152">
        <f t="shared" si="1"/>
        <v>-0.14000000000000001</v>
      </c>
    </row>
    <row r="22" spans="1:27" ht="21" customHeight="1" x14ac:dyDescent="0.25">
      <c r="B22" s="154"/>
      <c r="C22" s="340" t="s">
        <v>108</v>
      </c>
      <c r="D22" s="323">
        <f>+'RVK ÍB20'!G117-'RVK ÍB20'!H117</f>
        <v>663</v>
      </c>
      <c r="E22" s="323">
        <f>+SUM('RVK ÍB20'!V117:Z117)</f>
        <v>200</v>
      </c>
      <c r="F22" s="152">
        <f t="shared" si="0"/>
        <v>0.30165912518853694</v>
      </c>
      <c r="H22" s="354"/>
      <c r="I22" s="355" t="s">
        <v>87</v>
      </c>
      <c r="J22" s="356">
        <f>+'RVK ANNAD HUSNÆDI'!G108-'RVK ANNAD HUSNÆDI'!H108</f>
        <v>14800</v>
      </c>
      <c r="K22" s="356">
        <f>+SUM('RVK ANNAD HUSNÆDI'!V108:Z108)</f>
        <v>14800</v>
      </c>
      <c r="L22" s="152">
        <f t="shared" si="1"/>
        <v>1</v>
      </c>
      <c r="M22" s="364" t="s">
        <v>486</v>
      </c>
      <c r="N22" s="364"/>
    </row>
    <row r="23" spans="1:27" ht="21" customHeight="1" x14ac:dyDescent="0.25">
      <c r="B23" s="154"/>
      <c r="C23" s="340" t="s">
        <v>453</v>
      </c>
      <c r="D23" s="323">
        <f>+SUM('RVK ÍB20'!G126:G131)-SUM('RVK ÍB20'!H126:H131)</f>
        <v>162</v>
      </c>
      <c r="E23" s="323">
        <f>+SUM('RVK ÍB20'!V126:Z131)</f>
        <v>162</v>
      </c>
      <c r="F23" s="152">
        <f t="shared" si="0"/>
        <v>1</v>
      </c>
      <c r="H23" s="154"/>
      <c r="I23" s="340" t="s">
        <v>137</v>
      </c>
      <c r="J23" s="323">
        <f>+'RVK ANNAD HUSNÆDI'!G154-'RVK ANNAD HUSNÆDI'!H154</f>
        <v>-4600</v>
      </c>
      <c r="K23" s="323">
        <f>+SUM('RVK ANNAD HUSNÆDI'!V154:Z154)</f>
        <v>-3800</v>
      </c>
      <c r="L23" s="152">
        <f t="shared" si="1"/>
        <v>0.82608695652173914</v>
      </c>
    </row>
    <row r="24" spans="1:27" ht="21" customHeight="1" x14ac:dyDescent="0.25">
      <c r="B24" s="154"/>
      <c r="C24" s="340" t="s">
        <v>137</v>
      </c>
      <c r="D24" s="323">
        <f>+'RVK ÍB20'!G142-'RVK ÍB20'!H142</f>
        <v>460</v>
      </c>
      <c r="E24" s="323">
        <f>+SUM('RVK ÍB20'!V142:Z142)</f>
        <v>122.66666666666667</v>
      </c>
      <c r="F24" s="152">
        <f t="shared" si="0"/>
        <v>0.26666666666666666</v>
      </c>
      <c r="H24" s="154"/>
      <c r="I24" s="340" t="s">
        <v>454</v>
      </c>
      <c r="J24" s="323">
        <f>+'RVK ANNAD HUSNÆDI'!G158-'RVK ANNAD HUSNÆDI'!H158</f>
        <v>50000</v>
      </c>
      <c r="K24" s="323">
        <f>+SUM('RVK ANNAD HUSNÆDI'!V158:Z158)</f>
        <v>-6000</v>
      </c>
      <c r="L24" s="152">
        <f t="shared" si="1"/>
        <v>-0.12</v>
      </c>
    </row>
    <row r="25" spans="1:27" ht="21" customHeight="1" x14ac:dyDescent="0.25">
      <c r="B25" s="154"/>
      <c r="C25" s="340" t="s">
        <v>139</v>
      </c>
      <c r="D25" s="323">
        <f>+'RVK ÍB20'!G144-'RVK ÍB20'!H144</f>
        <v>30</v>
      </c>
      <c r="E25" s="323">
        <f>+SUM('RVK ÍB20'!V144:Z144)</f>
        <v>30</v>
      </c>
      <c r="F25" s="152">
        <f t="shared" si="0"/>
        <v>1</v>
      </c>
      <c r="H25" s="154"/>
      <c r="I25" s="340" t="s">
        <v>455</v>
      </c>
      <c r="J25" s="323">
        <f>+'RVK ANNAD HUSNÆDI'!G159</f>
        <v>10000</v>
      </c>
      <c r="K25" s="323">
        <f>+SUM('RVK ANNAD HUSNÆDI'!V159:Z159)</f>
        <v>4000</v>
      </c>
      <c r="L25" s="152">
        <f t="shared" si="1"/>
        <v>0.4</v>
      </c>
    </row>
    <row r="26" spans="1:27" ht="21" customHeight="1" x14ac:dyDescent="0.25">
      <c r="B26" s="154"/>
      <c r="C26" s="340" t="s">
        <v>454</v>
      </c>
      <c r="D26" s="323">
        <f>+'RVK ÍB20'!G146-'RVK ÍB20'!H146</f>
        <v>1430</v>
      </c>
      <c r="E26" s="323">
        <f>+SUM('RVK ÍB20'!V146:Z146)</f>
        <v>119.86764705882354</v>
      </c>
      <c r="F26" s="152">
        <f t="shared" si="0"/>
        <v>8.3823529411764713E-2</v>
      </c>
      <c r="H26" s="154"/>
      <c r="I26" s="340" t="s">
        <v>166</v>
      </c>
      <c r="J26" s="323">
        <f>+'RVK ANNAD HUSNÆDI'!G178-'RVK ANNAD HUSNÆDI'!H178</f>
        <v>10000</v>
      </c>
      <c r="K26" s="323">
        <f>+SUM('RVK ANNAD HUSNÆDI'!V178:Z178)</f>
        <v>2000</v>
      </c>
      <c r="L26" s="152">
        <f t="shared" si="1"/>
        <v>0.2</v>
      </c>
    </row>
    <row r="27" spans="1:27" ht="21" customHeight="1" x14ac:dyDescent="0.25">
      <c r="B27" s="154"/>
      <c r="C27" s="340" t="s">
        <v>455</v>
      </c>
      <c r="D27" s="323">
        <f>+'RVK ÍB20'!G147-'RVK ÍB20'!H147</f>
        <v>2000</v>
      </c>
      <c r="E27" s="323">
        <f>+SUM('RVK ÍB20'!V147:Z147)</f>
        <v>100.41666666666664</v>
      </c>
      <c r="F27" s="152">
        <f t="shared" si="0"/>
        <v>5.020833333333332E-2</v>
      </c>
      <c r="H27" s="154"/>
      <c r="I27" s="340" t="s">
        <v>456</v>
      </c>
      <c r="J27" s="323">
        <f>+'RVK ANNAD HUSNÆDI'!G179-'RVK ANNAD HUSNÆDI'!H179</f>
        <v>70000</v>
      </c>
      <c r="K27" s="323">
        <f>+SUM('RVK ANNAD HUSNÆDI'!V178:Z178)</f>
        <v>2000</v>
      </c>
      <c r="L27" s="152">
        <f t="shared" si="1"/>
        <v>2.8571428571428571E-2</v>
      </c>
    </row>
    <row r="28" spans="1:27" s="338" customFormat="1" ht="21" customHeight="1" x14ac:dyDescent="0.25">
      <c r="A28" s="312"/>
      <c r="B28" s="154"/>
      <c r="C28" s="340" t="s">
        <v>457</v>
      </c>
      <c r="D28" s="323">
        <f>+'RVK ÍB20'!G149-'RVK ÍB20'!H149</f>
        <v>833</v>
      </c>
      <c r="E28" s="323">
        <f>+SUM('RVK ÍB20'!V149:Z149)</f>
        <v>220</v>
      </c>
      <c r="F28" s="152">
        <f t="shared" si="0"/>
        <v>0.26410564225690275</v>
      </c>
      <c r="H28" s="154"/>
      <c r="I28" s="340" t="s">
        <v>327</v>
      </c>
      <c r="J28" s="323">
        <f>+'RVK ANNAD HUSNÆDI'!G181-'RVK ANNAD HUSNÆDI'!H181</f>
        <v>40000</v>
      </c>
      <c r="K28" s="323">
        <f>+SUM('RVK ANNAD HUSNÆDI'!V181:Z181)</f>
        <v>4000</v>
      </c>
      <c r="L28" s="152">
        <f t="shared" si="1"/>
        <v>0.1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38" customFormat="1" ht="21" customHeight="1" x14ac:dyDescent="0.25">
      <c r="A29" s="312"/>
      <c r="B29" s="154"/>
      <c r="C29" s="340" t="s">
        <v>458</v>
      </c>
      <c r="D29" s="323">
        <f>+SUM('RVK ÍB20'!G160:G161)-SUM('RVK ÍB20'!H160:H161)</f>
        <v>215</v>
      </c>
      <c r="E29" s="323">
        <f>+SUM('RVK ÍB20'!V160:Z161)</f>
        <v>215</v>
      </c>
      <c r="F29" s="152">
        <f t="shared" si="0"/>
        <v>1</v>
      </c>
      <c r="H29" s="154"/>
      <c r="I29" s="340" t="s">
        <v>474</v>
      </c>
      <c r="J29" s="323">
        <f>+'RVK ANNAD HUSNÆDI'!G182-'RVK ANNAD HUSNÆDI'!H182</f>
        <v>2000</v>
      </c>
      <c r="K29" s="323">
        <f>+SUM('RVK ANNAD HUSNÆDI'!V182:Z182)</f>
        <v>0</v>
      </c>
      <c r="L29" s="152">
        <f t="shared" si="1"/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38" customFormat="1" ht="21" customHeight="1" x14ac:dyDescent="0.25">
      <c r="A30" s="312"/>
      <c r="B30" s="154"/>
      <c r="C30" s="340" t="s">
        <v>459</v>
      </c>
      <c r="D30" s="323">
        <f>+'RVK ÍB20'!G163-'RVK ÍB20'!H163</f>
        <v>122</v>
      </c>
      <c r="E30" s="323">
        <f>+SUM('RVK ÍB20'!V163:Z163)</f>
        <v>122</v>
      </c>
      <c r="F30" s="152">
        <f t="shared" si="0"/>
        <v>1</v>
      </c>
      <c r="H30" s="154"/>
      <c r="I30" s="340" t="s">
        <v>186</v>
      </c>
      <c r="J30" s="323">
        <f>+'RVK ANNAD HUSNÆDI'!G194-'RVK ANNAD HUSNÆDI'!H194</f>
        <v>0</v>
      </c>
      <c r="K30" s="323">
        <f>+SUM('RVK ANNAD HUSNÆDI'!V194:Z194)</f>
        <v>0</v>
      </c>
      <c r="L30" s="152" t="e">
        <f t="shared" si="1"/>
        <v>#DIV/0!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38" customFormat="1" ht="21" customHeight="1" x14ac:dyDescent="0.25">
      <c r="A31" s="312"/>
      <c r="B31" s="154"/>
      <c r="C31" s="340" t="s">
        <v>327</v>
      </c>
      <c r="D31" s="323">
        <f>+SUM('RVK ÍB20'!G171:G172)-SUM('RVK ÍB20'!H171:H172)</f>
        <v>130</v>
      </c>
      <c r="E31" s="356">
        <f>+SUM('RVK ÍB20'!V171:Z172)</f>
        <v>130</v>
      </c>
      <c r="F31" s="152">
        <f t="shared" si="0"/>
        <v>1</v>
      </c>
      <c r="H31" s="154"/>
      <c r="I31" s="340" t="s">
        <v>204</v>
      </c>
      <c r="J31" s="323">
        <f>+'RVK ANNAD HUSNÆDI'!G206-'RVK ANNAD HUSNÆDI'!H206</f>
        <v>3913</v>
      </c>
      <c r="K31" s="323">
        <f>+SUM('RVK ANNAD HUSNÆDI'!V206:Z206)</f>
        <v>7475</v>
      </c>
      <c r="L31" s="152">
        <f t="shared" si="1"/>
        <v>1.9102990033222591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38" customFormat="1" ht="21" customHeight="1" x14ac:dyDescent="0.25">
      <c r="A32" s="312"/>
      <c r="B32" s="154"/>
      <c r="C32" s="340" t="s">
        <v>186</v>
      </c>
      <c r="D32" s="323">
        <f>+'RVK ÍB20'!G180-'RVK ÍB20'!H180</f>
        <v>600</v>
      </c>
      <c r="E32" s="323">
        <f>+SUM('RVK ÍB20'!V180:Z180)</f>
        <v>290</v>
      </c>
      <c r="F32" s="152">
        <f t="shared" si="0"/>
        <v>0.48333333333333334</v>
      </c>
      <c r="H32" s="154"/>
      <c r="I32" s="340" t="s">
        <v>220</v>
      </c>
      <c r="J32" s="323">
        <f>+'RVK ANNAD HUSNÆDI'!G219-'RVK ANNAD HUSNÆDI'!H219</f>
        <v>2000</v>
      </c>
      <c r="K32" s="323">
        <f>+SUM('RVK ANNAD HUSNÆDI'!V219:Z219)</f>
        <v>2000</v>
      </c>
      <c r="L32" s="152">
        <f t="shared" si="1"/>
        <v>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38" customFormat="1" ht="21" customHeight="1" x14ac:dyDescent="0.25">
      <c r="A33" s="312"/>
      <c r="B33" s="154"/>
      <c r="C33" s="340" t="s">
        <v>461</v>
      </c>
      <c r="D33" s="323">
        <f>+'RVK ÍB20'!G196-'RVK ÍB20'!H196</f>
        <v>56</v>
      </c>
      <c r="E33" s="323">
        <f>+SUM('RVK ÍB20'!V196:Z196)</f>
        <v>56</v>
      </c>
      <c r="F33" s="152">
        <f t="shared" si="0"/>
        <v>1</v>
      </c>
      <c r="H33" s="154"/>
      <c r="I33" s="340" t="s">
        <v>222</v>
      </c>
      <c r="J33" s="323">
        <f>+'RVK ANNAD HUSNÆDI'!G221-'RVK ANNAD HUSNÆDI'!H221</f>
        <v>52980</v>
      </c>
      <c r="K33" s="323">
        <f>+SUM('RVK ANNAD HUSNÆDI'!V221:Z221)</f>
        <v>0</v>
      </c>
      <c r="L33" s="152">
        <f t="shared" si="1"/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38" customFormat="1" ht="21" customHeight="1" x14ac:dyDescent="0.25">
      <c r="A34" s="312"/>
      <c r="B34" s="154"/>
      <c r="C34" s="340" t="s">
        <v>210</v>
      </c>
      <c r="D34" s="323">
        <f>+'RVK ÍB20'!G199-'RVK ÍB20'!H199</f>
        <v>150</v>
      </c>
      <c r="E34" s="323">
        <f>+SUM('RVK ÍB20'!V199:Z199)</f>
        <v>150</v>
      </c>
      <c r="F34" s="152">
        <f t="shared" si="0"/>
        <v>1</v>
      </c>
      <c r="H34" s="154"/>
      <c r="I34" s="340" t="s">
        <v>460</v>
      </c>
      <c r="J34" s="323">
        <f>+'RVK ANNAD HUSNÆDI'!G224-'RVK ANNAD HUSNÆDI'!H224</f>
        <v>27241</v>
      </c>
      <c r="K34" s="323">
        <f>+SUM('RVK ANNAD HUSNÆDI'!V224:Z224)</f>
        <v>16000</v>
      </c>
      <c r="L34" s="152">
        <f t="shared" si="1"/>
        <v>0.58734995044234795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21" customHeight="1" x14ac:dyDescent="0.25">
      <c r="B35" s="154"/>
      <c r="C35" s="340" t="s">
        <v>464</v>
      </c>
      <c r="D35" s="323">
        <f>+'RVK ÍB20'!G200-'RVK ÍB20'!H200</f>
        <v>360</v>
      </c>
      <c r="E35" s="323">
        <f>+SUM('RVK ÍB20'!V200:Z200)</f>
        <v>360</v>
      </c>
      <c r="F35" s="152">
        <f t="shared" si="0"/>
        <v>1</v>
      </c>
      <c r="H35" s="154"/>
      <c r="I35" s="340" t="s">
        <v>462</v>
      </c>
      <c r="J35" s="323">
        <f>+'RVK ANNAD HUSNÆDI'!G230-'RVK ANNAD HUSNÆDI'!H230</f>
        <v>20000</v>
      </c>
      <c r="K35" s="323">
        <f>+SUM('RVK ANNAD HUSNÆDI'!V230:Z230)</f>
        <v>10000</v>
      </c>
      <c r="L35" s="152">
        <f t="shared" si="1"/>
        <v>0.5</v>
      </c>
    </row>
    <row r="36" spans="1:27" ht="21" customHeight="1" thickBot="1" x14ac:dyDescent="0.3">
      <c r="B36" s="345"/>
      <c r="C36" s="346" t="s">
        <v>228</v>
      </c>
      <c r="D36" s="347">
        <f>+SUM('RVK ÍB20'!G210:G211)-SUM('RVK ÍB20'!H210:H211)</f>
        <v>123</v>
      </c>
      <c r="E36" s="347">
        <f>+SUM('RVK ÍB20'!V210:Z211)</f>
        <v>35</v>
      </c>
      <c r="F36" s="348">
        <f t="shared" si="0"/>
        <v>0.28455284552845528</v>
      </c>
      <c r="H36" s="154"/>
      <c r="I36" s="340" t="s">
        <v>463</v>
      </c>
      <c r="J36" s="323">
        <f>+'RVK ANNAD HUSNÆDI'!G231-'RVK ANNAD HUSNÆDI'!H231</f>
        <v>126500</v>
      </c>
      <c r="K36" s="323">
        <f>+SUM('RVK ANNAD HUSNÆDI'!V231:Z231)</f>
        <v>6000</v>
      </c>
      <c r="L36" s="152">
        <f t="shared" si="1"/>
        <v>4.7430830039525688E-2</v>
      </c>
    </row>
    <row r="37" spans="1:27" ht="21" customHeight="1" thickBot="1" x14ac:dyDescent="0.3">
      <c r="B37" s="425" t="s">
        <v>466</v>
      </c>
      <c r="C37" s="425"/>
      <c r="D37" s="425"/>
      <c r="E37" s="425"/>
      <c r="F37" s="425"/>
      <c r="H37" s="341"/>
      <c r="I37" s="342" t="s">
        <v>465</v>
      </c>
      <c r="J37" s="343">
        <f>+'RVK ANNAD HUSNÆDI'!G232-'RVK ANNAD HUSNÆDI'!H232</f>
        <v>2000</v>
      </c>
      <c r="K37" s="343">
        <f>+SUM('RVK ANNAD HUSNÆDI'!V232:Z232)</f>
        <v>2000</v>
      </c>
      <c r="L37" s="344">
        <f t="shared" si="1"/>
        <v>1</v>
      </c>
    </row>
    <row r="38" spans="1:27" ht="21" customHeight="1" x14ac:dyDescent="0.25">
      <c r="B38" s="426"/>
      <c r="C38" s="426"/>
      <c r="D38" s="426"/>
      <c r="E38" s="426"/>
      <c r="F38" s="426"/>
      <c r="H38" s="425" t="s">
        <v>466</v>
      </c>
      <c r="I38" s="425"/>
      <c r="J38" s="425"/>
      <c r="K38" s="425"/>
      <c r="L38" s="425"/>
    </row>
    <row r="39" spans="1:27" s="358" customFormat="1" ht="21" customHeight="1" x14ac:dyDescent="0.25">
      <c r="A39" s="312"/>
      <c r="B39" s="357"/>
      <c r="C39" s="357"/>
      <c r="D39" s="357"/>
      <c r="E39" s="357"/>
      <c r="F39" s="357"/>
      <c r="G39" s="338"/>
      <c r="H39" s="426"/>
      <c r="I39" s="426"/>
      <c r="J39" s="426"/>
      <c r="K39" s="426"/>
      <c r="L39" s="426"/>
    </row>
    <row r="40" spans="1:27" ht="21" customHeight="1" x14ac:dyDescent="0.25">
      <c r="B40" s="426" t="s">
        <v>467</v>
      </c>
      <c r="C40" s="426"/>
      <c r="D40" s="426"/>
      <c r="E40" s="426"/>
      <c r="F40" s="426"/>
      <c r="H40" s="426" t="s">
        <v>467</v>
      </c>
      <c r="I40" s="426"/>
      <c r="J40" s="426"/>
      <c r="K40" s="426"/>
      <c r="L40" s="426"/>
    </row>
    <row r="41" spans="1:27" ht="15.75" thickBot="1" x14ac:dyDescent="0.3">
      <c r="B41" s="426"/>
      <c r="C41" s="426"/>
      <c r="D41" s="426"/>
      <c r="E41" s="426"/>
      <c r="F41" s="426"/>
      <c r="H41" s="426"/>
      <c r="I41" s="426"/>
      <c r="J41" s="426"/>
      <c r="K41" s="426"/>
      <c r="L41" s="426"/>
    </row>
    <row r="42" spans="1:27" ht="21" customHeight="1" x14ac:dyDescent="0.25">
      <c r="B42" s="313"/>
      <c r="C42" s="314" t="s">
        <v>480</v>
      </c>
      <c r="D42" s="339" t="s">
        <v>470</v>
      </c>
      <c r="E42" s="339"/>
      <c r="F42" s="316"/>
      <c r="H42" s="313"/>
      <c r="I42" s="314" t="s">
        <v>481</v>
      </c>
      <c r="J42" s="339" t="s">
        <v>470</v>
      </c>
      <c r="K42" s="339"/>
      <c r="L42" s="316"/>
    </row>
    <row r="43" spans="1:27" ht="21" customHeight="1" x14ac:dyDescent="0.25">
      <c r="B43" s="154"/>
      <c r="C43" s="340" t="s">
        <v>15</v>
      </c>
      <c r="D43" s="323">
        <f>+'RVK ÍB20'!G34</f>
        <v>100</v>
      </c>
      <c r="E43" s="323"/>
      <c r="F43" s="152"/>
      <c r="H43" s="154"/>
      <c r="I43" s="340" t="s">
        <v>44</v>
      </c>
      <c r="J43" s="323">
        <f>+'RVK ANNAD HUSNÆDI'!G62</f>
        <v>24000</v>
      </c>
      <c r="K43" s="323"/>
      <c r="L43" s="152"/>
    </row>
    <row r="44" spans="1:27" ht="21" customHeight="1" x14ac:dyDescent="0.25">
      <c r="B44" s="154"/>
      <c r="C44" s="340" t="s">
        <v>55</v>
      </c>
      <c r="D44" s="323">
        <f>+'RVK ÍB20'!G69</f>
        <v>20</v>
      </c>
      <c r="E44" s="323"/>
      <c r="F44" s="152"/>
      <c r="H44" s="154"/>
      <c r="I44" s="340" t="s">
        <v>189</v>
      </c>
      <c r="J44" s="323">
        <v>6700</v>
      </c>
      <c r="K44" s="323"/>
      <c r="L44" s="152"/>
    </row>
    <row r="45" spans="1:27" ht="21" customHeight="1" thickBot="1" x14ac:dyDescent="0.3">
      <c r="B45" s="154"/>
      <c r="C45" s="340" t="s">
        <v>473</v>
      </c>
      <c r="D45" s="323">
        <f>+'RVK ÍB20'!G70</f>
        <v>12</v>
      </c>
      <c r="E45" s="323"/>
      <c r="F45" s="152"/>
      <c r="H45" s="341"/>
      <c r="I45" s="342" t="s">
        <v>477</v>
      </c>
      <c r="J45" s="343">
        <v>45500</v>
      </c>
      <c r="K45" s="343"/>
      <c r="L45" s="344"/>
    </row>
    <row r="46" spans="1:27" ht="21" customHeight="1" x14ac:dyDescent="0.25">
      <c r="B46" s="154"/>
      <c r="C46" s="340" t="s">
        <v>482</v>
      </c>
      <c r="D46" s="323">
        <f>+'RVK ÍB20'!G75</f>
        <v>100</v>
      </c>
      <c r="E46" s="323"/>
      <c r="F46" s="152"/>
      <c r="I46" s="353"/>
    </row>
    <row r="47" spans="1:27" ht="21" customHeight="1" x14ac:dyDescent="0.25">
      <c r="B47" s="154"/>
      <c r="C47" s="340" t="s">
        <v>475</v>
      </c>
      <c r="D47" s="323">
        <f>+'RVK ÍB20'!G84</f>
        <v>200</v>
      </c>
      <c r="E47" s="323"/>
      <c r="F47" s="152"/>
      <c r="I47" s="353"/>
    </row>
    <row r="48" spans="1:27" ht="21" customHeight="1" x14ac:dyDescent="0.25">
      <c r="B48" s="154"/>
      <c r="C48" s="340" t="s">
        <v>476</v>
      </c>
      <c r="D48" s="323">
        <f>+'RVK ÍB20'!G85</f>
        <v>400</v>
      </c>
      <c r="E48" s="323"/>
      <c r="F48" s="152"/>
      <c r="I48" s="353"/>
    </row>
    <row r="49" spans="2:9" ht="21" customHeight="1" x14ac:dyDescent="0.25">
      <c r="B49" s="154"/>
      <c r="C49" s="340" t="s">
        <v>479</v>
      </c>
      <c r="D49" s="323">
        <f>+'RVK ÍB20'!G87</f>
        <v>47</v>
      </c>
      <c r="E49" s="323"/>
      <c r="F49" s="152"/>
      <c r="I49" s="353"/>
    </row>
    <row r="50" spans="2:9" ht="21" customHeight="1" x14ac:dyDescent="0.25">
      <c r="B50" s="154"/>
      <c r="C50" s="340" t="s">
        <v>77</v>
      </c>
      <c r="D50" s="323">
        <f>+'RVK ÍB20'!G90</f>
        <v>250</v>
      </c>
      <c r="E50" s="323"/>
      <c r="F50" s="152"/>
      <c r="I50" s="353"/>
    </row>
    <row r="51" spans="2:9" ht="21" customHeight="1" x14ac:dyDescent="0.25">
      <c r="B51" s="154"/>
      <c r="C51" s="340" t="s">
        <v>483</v>
      </c>
      <c r="D51" s="323">
        <f>+'RVK ÍB20'!G114</f>
        <v>546</v>
      </c>
      <c r="E51" s="323"/>
      <c r="F51" s="152"/>
      <c r="I51" s="353"/>
    </row>
    <row r="52" spans="2:9" ht="21" customHeight="1" x14ac:dyDescent="0.25">
      <c r="B52" s="154"/>
      <c r="C52" s="340" t="s">
        <v>109</v>
      </c>
      <c r="D52" s="323">
        <f>+'RVK ÍB20'!G118</f>
        <v>300</v>
      </c>
      <c r="E52" s="323"/>
      <c r="F52" s="152"/>
      <c r="I52" s="353"/>
    </row>
    <row r="53" spans="2:9" ht="21" customHeight="1" x14ac:dyDescent="0.25">
      <c r="B53" s="154"/>
      <c r="C53" s="340" t="s">
        <v>472</v>
      </c>
      <c r="D53" s="323">
        <f>+'RVK ÍB20'!G150</f>
        <v>750</v>
      </c>
      <c r="E53" s="323"/>
      <c r="F53" s="152"/>
    </row>
    <row r="54" spans="2:9" ht="21" customHeight="1" x14ac:dyDescent="0.25">
      <c r="B54" s="154"/>
      <c r="C54" s="340" t="s">
        <v>161</v>
      </c>
      <c r="D54" s="356">
        <f>+'RVK ÍB20'!G162</f>
        <v>60</v>
      </c>
      <c r="E54" s="323"/>
      <c r="F54" s="152"/>
    </row>
    <row r="55" spans="2:9" ht="21" customHeight="1" x14ac:dyDescent="0.25">
      <c r="B55" s="154"/>
      <c r="C55" s="340" t="s">
        <v>177</v>
      </c>
      <c r="D55" s="323">
        <f>+'RVK ÍB20'!G173</f>
        <v>150</v>
      </c>
      <c r="E55" s="323"/>
      <c r="F55" s="152"/>
    </row>
    <row r="56" spans="2:9" ht="21" customHeight="1" x14ac:dyDescent="0.25">
      <c r="B56" s="154"/>
      <c r="C56" s="340" t="s">
        <v>478</v>
      </c>
      <c r="D56" s="323">
        <f>+'RVK ÍB20'!G174</f>
        <v>150</v>
      </c>
      <c r="E56" s="323"/>
      <c r="F56" s="152"/>
    </row>
    <row r="57" spans="2:9" ht="21" customHeight="1" thickBot="1" x14ac:dyDescent="0.3">
      <c r="B57" s="341"/>
      <c r="C57" s="342" t="s">
        <v>189</v>
      </c>
      <c r="D57" s="343">
        <f>+'RVK ÍB20'!G181</f>
        <v>500</v>
      </c>
      <c r="E57" s="343"/>
      <c r="F57" s="344"/>
    </row>
  </sheetData>
  <mergeCells count="5">
    <mergeCell ref="B2:L2"/>
    <mergeCell ref="H38:L39"/>
    <mergeCell ref="B37:F38"/>
    <mergeCell ref="H40:L41"/>
    <mergeCell ref="B40:F41"/>
  </mergeCells>
  <conditionalFormatting sqref="F44">
    <cfRule type="colorScale" priority="4">
      <colorScale>
        <cfvo type="min"/>
        <cfvo type="max"/>
        <color rgb="FFFCFCFF"/>
        <color rgb="FF63BE7B"/>
      </colorScale>
    </cfRule>
  </conditionalFormatting>
  <conditionalFormatting sqref="L43">
    <cfRule type="colorScale" priority="2">
      <colorScale>
        <cfvo type="min"/>
        <cfvo type="max"/>
        <color rgb="FFFCFCFF"/>
        <color rgb="FF63BE7B"/>
      </colorScale>
    </cfRule>
  </conditionalFormatting>
  <conditionalFormatting sqref="L44:L45">
    <cfRule type="colorScale" priority="21">
      <colorScale>
        <cfvo type="min"/>
        <cfvo type="max"/>
        <color rgb="FFFCFCFF"/>
        <color rgb="FF63BE7B"/>
      </colorScale>
    </cfRule>
  </conditionalFormatting>
  <conditionalFormatting sqref="F45:F47 F43">
    <cfRule type="colorScale" priority="22">
      <colorScale>
        <cfvo type="min"/>
        <cfvo type="max"/>
        <color rgb="FFFCFCFF"/>
        <color rgb="FF63BE7B"/>
      </colorScale>
    </cfRule>
  </conditionalFormatting>
  <conditionalFormatting sqref="F48:F57">
    <cfRule type="colorScale" priority="23">
      <colorScale>
        <cfvo type="min"/>
        <cfvo type="max"/>
        <color rgb="FFFCFCFF"/>
        <color rgb="FF63BE7B"/>
      </colorScale>
    </cfRule>
  </conditionalFormatting>
  <conditionalFormatting sqref="F5:F36">
    <cfRule type="colorScale" priority="24">
      <colorScale>
        <cfvo type="min"/>
        <cfvo type="max"/>
        <color rgb="FFFCFCFF"/>
        <color rgb="FF63BE7B"/>
      </colorScale>
    </cfRule>
  </conditionalFormatting>
  <conditionalFormatting sqref="L5:L18 L20:L37">
    <cfRule type="colorScale" priority="25">
      <colorScale>
        <cfvo type="min"/>
        <cfvo type="max"/>
        <color rgb="FFFCFCFF"/>
        <color rgb="FF63BE7B"/>
      </colorScale>
    </cfRule>
  </conditionalFormatting>
  <conditionalFormatting sqref="L5:L3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D19:D31 D6:D12 J7:J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E392-C9FE-43A6-AF45-EE215B9B8095}">
  <dimension ref="A1:AA24"/>
  <sheetViews>
    <sheetView showGridLines="0" zoomScaleNormal="100" workbookViewId="0">
      <selection activeCell="I19" sqref="I19"/>
    </sheetView>
  </sheetViews>
  <sheetFormatPr defaultRowHeight="21" customHeight="1" x14ac:dyDescent="0.25"/>
  <cols>
    <col min="1" max="1" width="9.140625" style="312"/>
    <col min="2" max="2" width="4.85546875" style="1" customWidth="1"/>
    <col min="3" max="3" width="53.5703125" customWidth="1"/>
    <col min="4" max="4" width="13.42578125" style="1" customWidth="1"/>
    <col min="5" max="5" width="16.42578125" style="338" customWidth="1"/>
    <col min="6" max="6" width="11.140625" style="1" customWidth="1"/>
    <col min="7" max="7" width="10.28515625" style="338" bestFit="1" customWidth="1"/>
    <col min="8" max="8" width="8.7109375" style="14" bestFit="1" customWidth="1"/>
  </cols>
  <sheetData>
    <row r="1" spans="1:27" ht="9" customHeight="1" x14ac:dyDescent="0.25">
      <c r="A1" s="13"/>
      <c r="E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 x14ac:dyDescent="0.3">
      <c r="A2" s="13"/>
      <c r="B2" s="423" t="s">
        <v>425</v>
      </c>
      <c r="C2" s="424"/>
      <c r="D2" s="424"/>
      <c r="E2" s="424"/>
      <c r="F2" s="424"/>
      <c r="G2" s="4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" customHeight="1" thickBot="1" x14ac:dyDescent="0.3">
      <c r="A3" s="13"/>
      <c r="E3" s="1"/>
      <c r="G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1" customFormat="1" ht="21" customHeight="1" x14ac:dyDescent="0.25">
      <c r="A4" s="312"/>
      <c r="B4" s="313"/>
      <c r="C4" s="314" t="s">
        <v>426</v>
      </c>
      <c r="D4" s="73" t="s">
        <v>427</v>
      </c>
      <c r="E4" s="315" t="s">
        <v>428</v>
      </c>
      <c r="F4" s="73" t="s">
        <v>429</v>
      </c>
      <c r="G4" s="316" t="s">
        <v>428</v>
      </c>
      <c r="H4" s="14"/>
    </row>
    <row r="5" spans="1:27" s="1" customFormat="1" ht="21" customHeight="1" x14ac:dyDescent="0.25">
      <c r="A5" s="312"/>
      <c r="B5" s="154"/>
      <c r="C5" s="52" t="s">
        <v>430</v>
      </c>
      <c r="D5" s="317">
        <f>+'RVK ÍB20'!G7</f>
        <v>4759</v>
      </c>
      <c r="E5" s="151">
        <f>+'RVK ÍB20'!I7</f>
        <v>2.4321997417132923E-2</v>
      </c>
      <c r="F5" s="317">
        <f>+'RVK ANNAD HUSNÆDI'!G7</f>
        <v>982083</v>
      </c>
      <c r="G5" s="152"/>
      <c r="H5" s="14"/>
    </row>
    <row r="6" spans="1:27" s="1" customFormat="1" ht="21" customHeight="1" x14ac:dyDescent="0.25">
      <c r="A6" s="312"/>
      <c r="B6" s="150"/>
      <c r="C6" s="48" t="s">
        <v>431</v>
      </c>
      <c r="D6" s="318">
        <f>+'RVK ÍB20'!G8</f>
        <v>2546</v>
      </c>
      <c r="E6" s="319"/>
      <c r="F6" s="320">
        <f>+'RVK ANNAD HUSNÆDI'!G8</f>
        <v>283694</v>
      </c>
      <c r="G6" s="321"/>
      <c r="H6" s="14"/>
    </row>
    <row r="7" spans="1:27" s="1" customFormat="1" ht="21" customHeight="1" x14ac:dyDescent="0.25">
      <c r="A7" s="312"/>
      <c r="B7" s="154"/>
      <c r="C7" s="48" t="s">
        <v>432</v>
      </c>
      <c r="D7" s="318">
        <f>+'RVK ÍB20'!G9</f>
        <v>2213</v>
      </c>
      <c r="E7" s="322"/>
      <c r="F7" s="323">
        <f>+'RVK ANNAD HUSNÆDI'!G9</f>
        <v>698389</v>
      </c>
      <c r="G7" s="324"/>
      <c r="H7" s="14"/>
    </row>
    <row r="8" spans="1:27" s="1" customFormat="1" ht="21" customHeight="1" x14ac:dyDescent="0.25">
      <c r="A8" s="312"/>
      <c r="B8" s="154"/>
      <c r="C8" s="325" t="s">
        <v>256</v>
      </c>
      <c r="D8" s="317">
        <f>+'RVK ÍB20'!G10</f>
        <v>7964</v>
      </c>
      <c r="E8" s="151">
        <f>+'RVK ÍB20'!I10</f>
        <v>-7.6316399907214061E-2</v>
      </c>
      <c r="F8" s="317">
        <f>+'RVK ANNAD HUSNÆDI'!G10</f>
        <v>320990</v>
      </c>
      <c r="G8" s="152"/>
      <c r="H8" s="14"/>
    </row>
    <row r="9" spans="1:27" s="1" customFormat="1" ht="21" customHeight="1" x14ac:dyDescent="0.25">
      <c r="A9" s="312"/>
      <c r="B9" s="154"/>
      <c r="C9" s="52" t="s">
        <v>259</v>
      </c>
      <c r="D9" s="317">
        <f>+'RVK ÍB20'!G11</f>
        <v>21676</v>
      </c>
      <c r="E9" s="151">
        <f>+'RVK ÍB20'!I11</f>
        <v>0.1222366036758995</v>
      </c>
      <c r="F9" s="317">
        <f>+'RVK ANNAD HUSNÆDI'!G11</f>
        <v>1611646</v>
      </c>
      <c r="G9" s="152"/>
      <c r="H9" s="14"/>
    </row>
    <row r="10" spans="1:27" s="1" customFormat="1" ht="21" customHeight="1" x14ac:dyDescent="0.25">
      <c r="A10" s="312"/>
      <c r="B10" s="154"/>
      <c r="C10" s="48" t="s">
        <v>262</v>
      </c>
      <c r="D10" s="323">
        <f>+'RVK ÍB20'!G12</f>
        <v>8309</v>
      </c>
      <c r="E10" s="151"/>
      <c r="F10" s="323">
        <f>+'RVK ANNAD HUSNÆDI'!G12</f>
        <v>926646</v>
      </c>
      <c r="G10" s="152"/>
      <c r="H10" s="14"/>
    </row>
    <row r="11" spans="1:27" s="1" customFormat="1" ht="21" customHeight="1" x14ac:dyDescent="0.25">
      <c r="A11" s="312"/>
      <c r="B11" s="158"/>
      <c r="C11" s="57" t="s">
        <v>265</v>
      </c>
      <c r="D11" s="326">
        <f>+'RVK ÍB20'!G13</f>
        <v>13367</v>
      </c>
      <c r="E11" s="161"/>
      <c r="F11" s="326">
        <f>+'RVK ANNAD HUSNÆDI'!G13</f>
        <v>685000</v>
      </c>
      <c r="G11" s="327"/>
      <c r="H11" s="14"/>
    </row>
    <row r="12" spans="1:27" s="1" customFormat="1" ht="21" customHeight="1" thickBot="1" x14ac:dyDescent="0.3">
      <c r="A12" s="312"/>
      <c r="B12" s="94"/>
      <c r="C12" s="328" t="s">
        <v>433</v>
      </c>
      <c r="D12" s="329">
        <f>+'RVK ÍB20'!G14</f>
        <v>34399</v>
      </c>
      <c r="E12" s="163">
        <f>+'RVK ÍB20'!I14</f>
        <v>-6.1290762723427483E-2</v>
      </c>
      <c r="F12" s="329">
        <f>+'RVK ANNAD HUSNÆDI'!G14</f>
        <v>2914719</v>
      </c>
      <c r="G12" s="330"/>
      <c r="H12" s="14"/>
    </row>
    <row r="13" spans="1:27" s="1" customFormat="1" ht="9" customHeight="1" thickBot="1" x14ac:dyDescent="0.3">
      <c r="A13" s="312"/>
      <c r="C13"/>
      <c r="D13" s="320"/>
      <c r="E13" s="319"/>
      <c r="F13" s="320"/>
      <c r="G13" s="319"/>
      <c r="H13" s="14"/>
    </row>
    <row r="14" spans="1:27" s="1" customFormat="1" ht="21" customHeight="1" x14ac:dyDescent="0.25">
      <c r="A14" s="312"/>
      <c r="B14" s="313"/>
      <c r="C14" s="315" t="s">
        <v>434</v>
      </c>
      <c r="D14" s="73" t="s">
        <v>427</v>
      </c>
      <c r="E14" s="315" t="s">
        <v>428</v>
      </c>
      <c r="F14" s="73" t="s">
        <v>429</v>
      </c>
      <c r="G14" s="316" t="s">
        <v>428</v>
      </c>
      <c r="H14" s="14"/>
    </row>
    <row r="15" spans="1:27" s="1" customFormat="1" ht="21" customHeight="1" x14ac:dyDescent="0.25">
      <c r="A15" s="312"/>
      <c r="B15" s="150"/>
      <c r="C15" t="s">
        <v>435</v>
      </c>
      <c r="D15" s="320">
        <f>+'RVK ÍB20'!G17</f>
        <v>610.52777777777783</v>
      </c>
      <c r="E15" s="319"/>
      <c r="F15" s="320">
        <f>+'RVK ANNAD HUSNÆDI'!G17</f>
        <v>0</v>
      </c>
      <c r="G15" s="321"/>
      <c r="H15" s="14"/>
    </row>
    <row r="16" spans="1:27" s="1" customFormat="1" ht="21" customHeight="1" x14ac:dyDescent="0.25">
      <c r="A16" s="312"/>
      <c r="B16" s="154"/>
      <c r="C16" s="166">
        <v>2021</v>
      </c>
      <c r="D16" s="323">
        <f>+'RVK ÍB20'!G18</f>
        <v>1007.9999999999999</v>
      </c>
      <c r="E16" s="322"/>
      <c r="F16" s="323">
        <f>+'RVK ANNAD HUSNÆDI'!G18</f>
        <v>0</v>
      </c>
      <c r="G16" s="324"/>
      <c r="H16" s="14"/>
    </row>
    <row r="17" spans="1:9" s="1" customFormat="1" ht="21" customHeight="1" x14ac:dyDescent="0.25">
      <c r="A17" s="312"/>
      <c r="B17" s="150"/>
      <c r="C17" s="167">
        <v>2022</v>
      </c>
      <c r="D17" s="320">
        <f>+'RVK ÍB20'!G19</f>
        <v>920.46278825995807</v>
      </c>
      <c r="E17" s="319"/>
      <c r="F17" s="320">
        <f>+'RVK ANNAD HUSNÆDI'!G19</f>
        <v>33500</v>
      </c>
      <c r="G17" s="321"/>
      <c r="H17" s="14"/>
    </row>
    <row r="18" spans="1:9" s="1" customFormat="1" ht="21" customHeight="1" x14ac:dyDescent="0.25">
      <c r="A18" s="312"/>
      <c r="B18" s="154"/>
      <c r="C18" s="166" t="s">
        <v>283</v>
      </c>
      <c r="D18" s="323">
        <f>+'RVK ÍB20'!G20</f>
        <v>1035.4384827044023</v>
      </c>
      <c r="E18" s="322"/>
      <c r="F18" s="323">
        <f>+'RVK ANNAD HUSNÆDI'!G20</f>
        <v>39816.666666666664</v>
      </c>
      <c r="G18" s="324"/>
      <c r="H18" s="14"/>
    </row>
    <row r="19" spans="1:9" s="1" customFormat="1" ht="21" customHeight="1" x14ac:dyDescent="0.25">
      <c r="A19" s="312"/>
      <c r="B19" s="87"/>
      <c r="C19" s="168" t="s">
        <v>285</v>
      </c>
      <c r="D19" s="331">
        <f>+'RVK ÍB20'!G21</f>
        <v>1125.2498797632261</v>
      </c>
      <c r="E19" s="332"/>
      <c r="F19" s="331">
        <f>+'RVK ANNAD HUSNÆDI'!G21</f>
        <v>103717.33333333333</v>
      </c>
      <c r="G19" s="333"/>
      <c r="H19" s="14"/>
    </row>
    <row r="20" spans="1:9" s="1" customFormat="1" ht="21" customHeight="1" x14ac:dyDescent="0.25">
      <c r="A20" s="312"/>
      <c r="B20" s="87"/>
      <c r="C20" s="168" t="s">
        <v>436</v>
      </c>
      <c r="D20" s="331">
        <f>+'RVK ÍB20'!G22</f>
        <v>4699.6789285053637</v>
      </c>
      <c r="E20" s="332"/>
      <c r="F20" s="331">
        <f>+'RVK ANNAD HUSNÆDI'!G22</f>
        <v>177034</v>
      </c>
      <c r="G20" s="333"/>
      <c r="H20" s="14"/>
    </row>
    <row r="21" spans="1:9" ht="21" customHeight="1" thickBot="1" x14ac:dyDescent="0.3">
      <c r="B21" s="94"/>
      <c r="C21" s="334" t="s">
        <v>437</v>
      </c>
      <c r="D21" s="335">
        <f>+'RVK ÍB20'!G23</f>
        <v>1044.3730952234141</v>
      </c>
      <c r="E21" s="336"/>
      <c r="F21" s="335">
        <f>+'RVK ANNAD HUSNÆDI'!G23</f>
        <v>39340.888888888891</v>
      </c>
      <c r="G21" s="337"/>
      <c r="I21" s="320"/>
    </row>
    <row r="22" spans="1:9" ht="9" customHeight="1" x14ac:dyDescent="0.25"/>
    <row r="23" spans="1:9" ht="21" customHeight="1" x14ac:dyDescent="0.25">
      <c r="B23" s="426" t="s">
        <v>438</v>
      </c>
      <c r="C23" s="426"/>
      <c r="D23" s="426"/>
      <c r="E23" s="426"/>
      <c r="F23" s="426"/>
      <c r="G23" s="426"/>
    </row>
    <row r="24" spans="1:9" ht="21" customHeight="1" x14ac:dyDescent="0.25">
      <c r="B24" s="426"/>
      <c r="C24" s="426"/>
      <c r="D24" s="426"/>
      <c r="E24" s="426"/>
      <c r="F24" s="426"/>
      <c r="G24" s="426"/>
    </row>
  </sheetData>
  <mergeCells count="2">
    <mergeCell ref="B2:G2"/>
    <mergeCell ref="B23:G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8C37-A2EF-4D3F-BCFE-B5A1D9DE363D}">
  <dimension ref="A1:XFB429"/>
  <sheetViews>
    <sheetView showGridLines="0" tabSelected="1" zoomScaleNormal="100" workbookViewId="0">
      <selection activeCell="N14" sqref="N14:Z14"/>
    </sheetView>
  </sheetViews>
  <sheetFormatPr defaultRowHeight="21" customHeight="1" x14ac:dyDescent="0.25"/>
  <cols>
    <col min="1" max="1" width="7.42578125" style="414" customWidth="1"/>
    <col min="2" max="2" width="4" style="1" customWidth="1"/>
    <col min="3" max="3" width="51.5703125" style="367" customWidth="1"/>
    <col min="4" max="4" width="9.140625" style="1" customWidth="1"/>
    <col min="5" max="5" width="14" style="1" customWidth="1"/>
    <col min="6" max="6" width="19.42578125" style="1" customWidth="1"/>
    <col min="7" max="10" width="11.42578125" style="1" customWidth="1"/>
    <col min="11" max="11" width="1.5703125" style="1" customWidth="1"/>
    <col min="12" max="12" width="8.7109375" style="14" customWidth="1"/>
    <col min="13" max="14" width="8.5703125" style="1" customWidth="1"/>
    <col min="15" max="15" width="13" style="1" customWidth="1"/>
    <col min="16" max="26" width="10.5703125" style="1" customWidth="1"/>
    <col min="27" max="27" width="11.42578125" style="1" customWidth="1"/>
    <col min="28" max="16384" width="9.140625" style="367"/>
  </cols>
  <sheetData>
    <row r="1" spans="1:27" ht="9" customHeight="1" x14ac:dyDescent="0.25"/>
    <row r="2" spans="1:27" s="419" customFormat="1" ht="23.25" customHeight="1" x14ac:dyDescent="0.3">
      <c r="A2" s="417"/>
      <c r="B2" s="437" t="s">
        <v>307</v>
      </c>
      <c r="C2" s="437"/>
      <c r="D2" s="437"/>
      <c r="E2" s="437"/>
      <c r="F2" s="437"/>
      <c r="G2" s="437"/>
      <c r="H2" s="437"/>
      <c r="I2" s="437"/>
      <c r="J2" s="437"/>
      <c r="K2" s="418"/>
      <c r="L2" s="437" t="s">
        <v>239</v>
      </c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18"/>
    </row>
    <row r="3" spans="1:27" ht="9" customHeight="1" thickBot="1" x14ac:dyDescent="0.3"/>
    <row r="4" spans="1:27" ht="21" customHeight="1" thickBot="1" x14ac:dyDescent="0.3">
      <c r="B4" s="313"/>
      <c r="C4" s="315" t="s">
        <v>240</v>
      </c>
      <c r="D4" s="73" t="s">
        <v>4</v>
      </c>
      <c r="E4" s="73" t="s">
        <v>5</v>
      </c>
      <c r="F4" s="73" t="s">
        <v>6</v>
      </c>
      <c r="G4" s="73" t="s">
        <v>427</v>
      </c>
      <c r="H4" s="19" t="s">
        <v>519</v>
      </c>
      <c r="I4" s="19" t="s">
        <v>243</v>
      </c>
      <c r="J4" s="20"/>
      <c r="K4" s="21"/>
      <c r="L4" s="22" t="s">
        <v>244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21" customHeight="1" x14ac:dyDescent="0.25">
      <c r="B5" s="24"/>
      <c r="C5" s="25" t="s">
        <v>245</v>
      </c>
      <c r="D5" s="26"/>
      <c r="E5" s="26" t="s">
        <v>246</v>
      </c>
      <c r="F5" s="26" t="s">
        <v>309</v>
      </c>
      <c r="G5" s="27">
        <f>+SUM(H27:H236)</f>
        <v>4375</v>
      </c>
      <c r="H5" s="28"/>
      <c r="I5" s="29"/>
      <c r="J5" s="30"/>
      <c r="L5" s="31"/>
      <c r="M5" s="438" t="s">
        <v>247</v>
      </c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40"/>
    </row>
    <row r="6" spans="1:27" ht="21" customHeight="1" x14ac:dyDescent="0.25">
      <c r="B6" s="32"/>
      <c r="C6" s="33" t="s">
        <v>248</v>
      </c>
      <c r="D6" s="34">
        <v>1</v>
      </c>
      <c r="E6" s="34" t="s">
        <v>246</v>
      </c>
      <c r="F6" s="34" t="s">
        <v>309</v>
      </c>
      <c r="G6" s="35">
        <f>+SUMIF(D$27:D$236,"1",I$27:I$236)</f>
        <v>2029</v>
      </c>
      <c r="H6" s="35">
        <f>+'RVK ÍB20'!G6</f>
        <v>2063</v>
      </c>
      <c r="I6" s="36">
        <f>+G6/H6-1</f>
        <v>-1.6480853126514816E-2</v>
      </c>
      <c r="J6" s="37"/>
      <c r="K6" s="148"/>
      <c r="L6" s="39"/>
      <c r="M6" s="441" t="s">
        <v>249</v>
      </c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3"/>
    </row>
    <row r="7" spans="1:27" ht="21" customHeight="1" x14ac:dyDescent="0.25">
      <c r="A7" s="415"/>
      <c r="B7" s="150"/>
      <c r="C7" s="367" t="s">
        <v>250</v>
      </c>
      <c r="E7" s="54" t="s">
        <v>246</v>
      </c>
      <c r="F7" s="54" t="s">
        <v>309</v>
      </c>
      <c r="G7" s="42">
        <f>+G8+G9</f>
        <v>8051</v>
      </c>
      <c r="H7" s="42">
        <f>+'RVK ÍB20'!G7</f>
        <v>4759</v>
      </c>
      <c r="I7" s="151">
        <f>+G7/H7-1</f>
        <v>0.69174196259718435</v>
      </c>
      <c r="J7" s="152"/>
      <c r="K7" s="153"/>
      <c r="L7" s="46"/>
      <c r="M7" s="441" t="s">
        <v>251</v>
      </c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3"/>
    </row>
    <row r="8" spans="1:27" ht="21" customHeight="1" thickBot="1" x14ac:dyDescent="0.3">
      <c r="A8" s="415"/>
      <c r="B8" s="154"/>
      <c r="C8" s="48" t="s">
        <v>252</v>
      </c>
      <c r="D8" s="54">
        <v>1</v>
      </c>
      <c r="E8" s="54" t="s">
        <v>246</v>
      </c>
      <c r="F8" s="54" t="s">
        <v>309</v>
      </c>
      <c r="G8" s="155">
        <f>+SUMIF(D$27:D$236,"1",J$27:J$236)</f>
        <v>1503</v>
      </c>
      <c r="H8" s="155">
        <f>+'RVK ÍB20'!G8</f>
        <v>2546</v>
      </c>
      <c r="I8" s="151">
        <f>+G8/H8-1</f>
        <v>-0.40966221523959157</v>
      </c>
      <c r="J8" s="156"/>
      <c r="K8" s="148"/>
      <c r="L8" s="51"/>
      <c r="M8" s="434" t="s">
        <v>253</v>
      </c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6"/>
    </row>
    <row r="9" spans="1:27" ht="21" customHeight="1" thickBot="1" x14ac:dyDescent="0.3">
      <c r="A9" s="415"/>
      <c r="B9" s="154"/>
      <c r="C9" s="48" t="s">
        <v>254</v>
      </c>
      <c r="D9" s="54">
        <v>2</v>
      </c>
      <c r="E9" s="54" t="s">
        <v>246</v>
      </c>
      <c r="F9" s="54" t="s">
        <v>309</v>
      </c>
      <c r="G9" s="155">
        <f>+SUMIF(D$27:D$236,"2",J$27:J$236)</f>
        <v>6548</v>
      </c>
      <c r="H9" s="155">
        <f>+'RVK ÍB20'!G9</f>
        <v>2213</v>
      </c>
      <c r="I9" s="151">
        <f>+G9/H9-1</f>
        <v>1.9588793492995933</v>
      </c>
      <c r="J9" s="152"/>
      <c r="K9" s="153"/>
      <c r="L9" s="22" t="s">
        <v>255</v>
      </c>
      <c r="T9" s="23"/>
    </row>
    <row r="10" spans="1:27" ht="21" customHeight="1" x14ac:dyDescent="0.25">
      <c r="A10" s="415"/>
      <c r="B10" s="154"/>
      <c r="C10" s="52" t="s">
        <v>256</v>
      </c>
      <c r="D10" s="54">
        <v>3</v>
      </c>
      <c r="E10" s="54" t="s">
        <v>246</v>
      </c>
      <c r="F10" s="54" t="s">
        <v>309</v>
      </c>
      <c r="G10" s="49">
        <f>+SUMIF(D$27:D$236,"3",G$27:G$236)</f>
        <v>4443</v>
      </c>
      <c r="H10" s="49">
        <f>+'RVK ÍB20'!G10</f>
        <v>7964</v>
      </c>
      <c r="I10" s="151">
        <f t="shared" ref="I10:I13" si="0">+G10/H10-1</f>
        <v>-0.4421145153189352</v>
      </c>
      <c r="J10" s="157"/>
      <c r="L10" s="444" t="s">
        <v>257</v>
      </c>
      <c r="M10" s="445"/>
      <c r="N10" s="446" t="s">
        <v>258</v>
      </c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8"/>
    </row>
    <row r="11" spans="1:27" ht="21" customHeight="1" x14ac:dyDescent="0.25">
      <c r="A11" s="415"/>
      <c r="B11" s="150"/>
      <c r="C11" s="367" t="s">
        <v>310</v>
      </c>
      <c r="E11" s="54" t="s">
        <v>246</v>
      </c>
      <c r="F11" s="54" t="s">
        <v>309</v>
      </c>
      <c r="G11" s="49">
        <f>+G12+G13</f>
        <v>19610</v>
      </c>
      <c r="H11" s="49">
        <f>+H12+H13</f>
        <v>21676</v>
      </c>
      <c r="I11" s="151">
        <f t="shared" si="0"/>
        <v>-9.5312788337331589E-2</v>
      </c>
      <c r="J11" s="157"/>
      <c r="L11" s="427" t="s">
        <v>260</v>
      </c>
      <c r="M11" s="428"/>
      <c r="N11" s="429" t="s">
        <v>261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1:27" ht="21" customHeight="1" x14ac:dyDescent="0.25">
      <c r="A12" s="415"/>
      <c r="B12" s="154"/>
      <c r="C12" s="48" t="s">
        <v>262</v>
      </c>
      <c r="D12" s="54">
        <v>4</v>
      </c>
      <c r="E12" s="54" t="s">
        <v>246</v>
      </c>
      <c r="F12" s="54" t="s">
        <v>309</v>
      </c>
      <c r="G12" s="155">
        <f>+SUMIF(D$27:D$236,"4",G$27:G$236)</f>
        <v>7363</v>
      </c>
      <c r="H12" s="155">
        <f>+'RVK ÍB20'!G12</f>
        <v>8309</v>
      </c>
      <c r="I12" s="151">
        <f t="shared" si="0"/>
        <v>-0.11385244915152248</v>
      </c>
      <c r="J12" s="157"/>
      <c r="L12" s="427" t="s">
        <v>263</v>
      </c>
      <c r="M12" s="428"/>
      <c r="N12" s="449" t="s">
        <v>264</v>
      </c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1"/>
    </row>
    <row r="13" spans="1:27" ht="21" customHeight="1" x14ac:dyDescent="0.25">
      <c r="A13" s="415"/>
      <c r="B13" s="158"/>
      <c r="C13" s="57" t="s">
        <v>265</v>
      </c>
      <c r="D13" s="58">
        <v>5</v>
      </c>
      <c r="E13" s="58" t="s">
        <v>246</v>
      </c>
      <c r="F13" s="58" t="s">
        <v>309</v>
      </c>
      <c r="G13" s="159">
        <f>+SUMIF(D$27:D$236,"5",G$27:G$236)</f>
        <v>12247</v>
      </c>
      <c r="H13" s="160">
        <f>+'RVK ÍB20'!G13</f>
        <v>13367</v>
      </c>
      <c r="I13" s="161">
        <f t="shared" si="0"/>
        <v>-8.3788434203635798E-2</v>
      </c>
      <c r="J13" s="162"/>
      <c r="L13" s="427" t="s">
        <v>266</v>
      </c>
      <c r="M13" s="428"/>
      <c r="N13" s="429" t="s">
        <v>267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1:27" ht="21" customHeight="1" thickBot="1" x14ac:dyDescent="0.3">
      <c r="B14" s="63"/>
      <c r="C14" s="64" t="s">
        <v>268</v>
      </c>
      <c r="D14" s="65"/>
      <c r="E14" s="65"/>
      <c r="F14" s="96"/>
      <c r="G14" s="67">
        <f>G7+SUM(G10:G11)</f>
        <v>32104</v>
      </c>
      <c r="H14" s="67">
        <f>H7+SUM(H10:H11)</f>
        <v>34399</v>
      </c>
      <c r="I14" s="163">
        <f>+G14/H14-1</f>
        <v>-6.6717055728364172E-2</v>
      </c>
      <c r="J14" s="164"/>
      <c r="L14" s="432" t="s">
        <v>269</v>
      </c>
      <c r="M14" s="433"/>
      <c r="N14" s="452" t="s">
        <v>270</v>
      </c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4"/>
    </row>
    <row r="15" spans="1:27" ht="9" customHeight="1" thickBot="1" x14ac:dyDescent="0.3"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21" customHeight="1" thickBot="1" x14ac:dyDescent="0.3">
      <c r="B16" s="313"/>
      <c r="C16" s="385" t="s">
        <v>522</v>
      </c>
      <c r="D16" s="73"/>
      <c r="E16" s="73" t="s">
        <v>5</v>
      </c>
      <c r="F16" s="73" t="s">
        <v>6</v>
      </c>
      <c r="G16" s="73" t="s">
        <v>427</v>
      </c>
      <c r="H16" s="19">
        <v>2020</v>
      </c>
      <c r="I16" s="74" t="s">
        <v>273</v>
      </c>
      <c r="J16" s="20"/>
      <c r="M16" s="22" t="s">
        <v>274</v>
      </c>
      <c r="S16" s="455" t="s">
        <v>275</v>
      </c>
      <c r="T16" s="455"/>
      <c r="U16" s="455"/>
      <c r="V16" s="455"/>
      <c r="W16" s="455"/>
      <c r="X16" s="455"/>
      <c r="Y16" s="455"/>
      <c r="Z16" s="455"/>
    </row>
    <row r="17" spans="1:31" ht="21" customHeight="1" x14ac:dyDescent="0.25">
      <c r="B17" s="150"/>
      <c r="E17" s="1" t="s">
        <v>246</v>
      </c>
      <c r="F17" s="1" t="s">
        <v>309</v>
      </c>
      <c r="G17" s="49"/>
      <c r="H17" s="76"/>
      <c r="I17" s="77"/>
      <c r="J17" s="165"/>
      <c r="M17" s="79" t="s">
        <v>4</v>
      </c>
      <c r="N17" s="462" t="s">
        <v>278</v>
      </c>
      <c r="O17" s="463"/>
      <c r="P17" s="463"/>
      <c r="Q17" s="464"/>
      <c r="R17" s="23"/>
      <c r="S17" s="455" t="s">
        <v>279</v>
      </c>
      <c r="T17" s="455"/>
      <c r="U17" s="455"/>
      <c r="V17" s="455"/>
      <c r="W17" s="455"/>
      <c r="X17" s="455"/>
      <c r="Y17" s="455"/>
      <c r="Z17" s="455"/>
    </row>
    <row r="18" spans="1:31" ht="21" customHeight="1" x14ac:dyDescent="0.25">
      <c r="B18" s="154"/>
      <c r="C18" s="166"/>
      <c r="D18" s="54"/>
      <c r="E18" s="54" t="s">
        <v>246</v>
      </c>
      <c r="F18" s="54" t="s">
        <v>309</v>
      </c>
      <c r="G18" s="49"/>
      <c r="H18" s="76"/>
      <c r="I18" s="54"/>
      <c r="J18" s="157"/>
      <c r="M18" s="46">
        <v>1</v>
      </c>
      <c r="N18" s="465" t="s">
        <v>280</v>
      </c>
      <c r="O18" s="465"/>
      <c r="P18" s="465"/>
      <c r="Q18" s="466"/>
      <c r="R18" s="23"/>
      <c r="S18" s="455"/>
      <c r="T18" s="455"/>
      <c r="U18" s="455"/>
      <c r="V18" s="455"/>
      <c r="W18" s="455"/>
      <c r="X18" s="455"/>
      <c r="Y18" s="455"/>
      <c r="Z18" s="455"/>
    </row>
    <row r="19" spans="1:31" ht="21" customHeight="1" x14ac:dyDescent="0.25">
      <c r="B19" s="150"/>
      <c r="C19" s="167">
        <v>2022</v>
      </c>
      <c r="E19" s="1" t="s">
        <v>246</v>
      </c>
      <c r="F19" s="1" t="s">
        <v>309</v>
      </c>
      <c r="G19" s="49">
        <f>SUM(X$27:X$236)</f>
        <v>1390.8055555555557</v>
      </c>
      <c r="H19" s="155">
        <f>+'RVK ÍB20'!G19</f>
        <v>920.46278825995807</v>
      </c>
      <c r="I19" s="82">
        <f>+G19/H19-1</f>
        <v>0.51098509716480023</v>
      </c>
      <c r="J19" s="157"/>
      <c r="M19" s="46">
        <v>2</v>
      </c>
      <c r="N19" s="460" t="s">
        <v>281</v>
      </c>
      <c r="O19" s="460"/>
      <c r="P19" s="460"/>
      <c r="Q19" s="461"/>
      <c r="R19" s="23"/>
      <c r="S19" s="467" t="s">
        <v>282</v>
      </c>
      <c r="T19" s="467"/>
      <c r="U19" s="467"/>
      <c r="V19" s="467"/>
      <c r="W19" s="467"/>
      <c r="X19" s="467"/>
      <c r="Y19" s="467"/>
      <c r="Z19" s="467"/>
    </row>
    <row r="20" spans="1:31" ht="21" customHeight="1" x14ac:dyDescent="0.25">
      <c r="B20" s="154"/>
      <c r="C20" s="166" t="s">
        <v>283</v>
      </c>
      <c r="D20" s="54"/>
      <c r="E20" s="54" t="s">
        <v>246</v>
      </c>
      <c r="F20" s="54" t="s">
        <v>309</v>
      </c>
      <c r="G20" s="49">
        <f>SUM(Y$27:Y$236)</f>
        <v>1214.9291666666668</v>
      </c>
      <c r="H20" s="155">
        <f>+'RVK ÍB20'!G20</f>
        <v>1035.4384827044023</v>
      </c>
      <c r="I20" s="82">
        <f>+G20/H20-1</f>
        <v>0.17334751118527403</v>
      </c>
      <c r="J20" s="157"/>
      <c r="M20" s="46">
        <v>3</v>
      </c>
      <c r="N20" s="460" t="s">
        <v>284</v>
      </c>
      <c r="O20" s="460"/>
      <c r="P20" s="460"/>
      <c r="Q20" s="461"/>
      <c r="R20" s="23"/>
      <c r="S20" s="467"/>
      <c r="T20" s="467"/>
      <c r="U20" s="467"/>
      <c r="V20" s="467"/>
      <c r="W20" s="467"/>
      <c r="X20" s="467"/>
      <c r="Y20" s="467"/>
      <c r="Z20" s="467"/>
    </row>
    <row r="21" spans="1:31" ht="21" customHeight="1" x14ac:dyDescent="0.25">
      <c r="B21" s="87"/>
      <c r="C21" s="168" t="s">
        <v>285</v>
      </c>
      <c r="D21" s="89"/>
      <c r="E21" s="89" t="s">
        <v>246</v>
      </c>
      <c r="F21" s="89" t="s">
        <v>309</v>
      </c>
      <c r="G21" s="60">
        <f>SUM(Z$27:Z$236)</f>
        <v>1151.3325075075074</v>
      </c>
      <c r="H21" s="159">
        <f>+'RVK ÍB20'!G21</f>
        <v>1125.2498797632261</v>
      </c>
      <c r="I21" s="82">
        <f>+G21/H21-1</f>
        <v>2.3179409492378289E-2</v>
      </c>
      <c r="J21" s="162"/>
      <c r="M21" s="46">
        <v>4</v>
      </c>
      <c r="N21" s="460" t="s">
        <v>259</v>
      </c>
      <c r="O21" s="460"/>
      <c r="P21" s="460"/>
      <c r="Q21" s="461"/>
      <c r="R21" s="23"/>
      <c r="U21" s="366"/>
      <c r="V21" s="366"/>
      <c r="W21" s="366"/>
      <c r="X21" s="366"/>
      <c r="Y21" s="366"/>
      <c r="Z21" s="366"/>
    </row>
    <row r="22" spans="1:31" ht="21" customHeight="1" thickBot="1" x14ac:dyDescent="0.3">
      <c r="B22" s="87"/>
      <c r="C22" s="88" t="s">
        <v>286</v>
      </c>
      <c r="D22" s="89"/>
      <c r="E22" s="89"/>
      <c r="F22" s="89"/>
      <c r="G22" s="90">
        <f>+SUM(G19:G21)</f>
        <v>3757.0672297297297</v>
      </c>
      <c r="H22" s="89"/>
      <c r="I22" s="91"/>
      <c r="J22" s="169"/>
      <c r="M22" s="93">
        <v>5</v>
      </c>
      <c r="N22" s="456" t="s">
        <v>287</v>
      </c>
      <c r="O22" s="456"/>
      <c r="P22" s="456"/>
      <c r="Q22" s="457"/>
      <c r="R22" s="23"/>
      <c r="S22" s="23"/>
      <c r="U22" s="366"/>
      <c r="V22" s="366"/>
      <c r="W22" s="366"/>
      <c r="X22" s="366"/>
      <c r="Y22" s="366"/>
      <c r="Z22" s="366"/>
    </row>
    <row r="23" spans="1:31" ht="21" customHeight="1" thickBot="1" x14ac:dyDescent="0.3">
      <c r="B23" s="94"/>
      <c r="C23" s="95" t="s">
        <v>521</v>
      </c>
      <c r="D23" s="96"/>
      <c r="E23" s="96"/>
      <c r="F23" s="96"/>
      <c r="G23" s="67">
        <f>+G22/3</f>
        <v>1252.3557432432433</v>
      </c>
      <c r="H23" s="96"/>
      <c r="I23" s="96"/>
      <c r="J23" s="164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31" ht="9" customHeight="1" x14ac:dyDescent="0.25"/>
    <row r="25" spans="1:31" s="421" customFormat="1" ht="21" customHeight="1" x14ac:dyDescent="0.3">
      <c r="A25" s="458"/>
      <c r="B25" s="459"/>
      <c r="C25" s="459"/>
      <c r="D25" s="437" t="s">
        <v>1</v>
      </c>
      <c r="E25" s="437"/>
      <c r="F25" s="437"/>
      <c r="G25" s="437"/>
      <c r="H25" s="437"/>
      <c r="I25" s="437"/>
      <c r="J25" s="437"/>
      <c r="K25" s="420"/>
      <c r="L25" s="437" t="s">
        <v>313</v>
      </c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18"/>
      <c r="AB25" s="418"/>
      <c r="AC25" s="418"/>
      <c r="AD25" s="418"/>
      <c r="AE25" s="418"/>
    </row>
    <row r="26" spans="1:31" s="422" customFormat="1" ht="21" customHeight="1" x14ac:dyDescent="0.25">
      <c r="A26" s="458"/>
      <c r="B26" s="386" t="s">
        <v>2</v>
      </c>
      <c r="C26" s="387" t="s">
        <v>3</v>
      </c>
      <c r="D26" s="386" t="s">
        <v>4</v>
      </c>
      <c r="E26" s="386" t="s">
        <v>5</v>
      </c>
      <c r="F26" s="386" t="s">
        <v>6</v>
      </c>
      <c r="G26" s="386" t="s">
        <v>314</v>
      </c>
      <c r="H26" s="386" t="s">
        <v>291</v>
      </c>
      <c r="I26" s="386" t="s">
        <v>292</v>
      </c>
      <c r="J26" s="386" t="s">
        <v>293</v>
      </c>
      <c r="K26" s="388"/>
      <c r="L26" s="389" t="s">
        <v>257</v>
      </c>
      <c r="M26" s="389" t="s">
        <v>294</v>
      </c>
      <c r="N26" s="389" t="s">
        <v>263</v>
      </c>
      <c r="O26" s="389" t="s">
        <v>266</v>
      </c>
      <c r="P26" s="386" t="s">
        <v>269</v>
      </c>
      <c r="Q26" s="390" t="s">
        <v>295</v>
      </c>
      <c r="R26" s="390" t="s">
        <v>296</v>
      </c>
      <c r="S26" s="390" t="s">
        <v>297</v>
      </c>
      <c r="T26" s="390" t="s">
        <v>298</v>
      </c>
      <c r="U26" s="390" t="s">
        <v>299</v>
      </c>
      <c r="V26" s="390" t="s">
        <v>315</v>
      </c>
      <c r="W26" s="390" t="s">
        <v>316</v>
      </c>
      <c r="X26" s="390" t="s">
        <v>317</v>
      </c>
      <c r="Y26" s="390" t="s">
        <v>318</v>
      </c>
      <c r="Z26" s="390" t="s">
        <v>319</v>
      </c>
      <c r="AA26" s="418"/>
      <c r="AB26" s="418"/>
      <c r="AC26" s="418"/>
      <c r="AD26" s="418"/>
      <c r="AE26" s="418"/>
    </row>
    <row r="27" spans="1:31" s="7" customFormat="1" ht="21" customHeight="1" x14ac:dyDescent="0.25">
      <c r="A27" s="412"/>
      <c r="B27" s="1"/>
      <c r="C27" s="7" t="str">
        <f>+'RVK SVÆDI'!C4</f>
        <v>Vesturbugt</v>
      </c>
      <c r="D27" s="8">
        <v>2</v>
      </c>
      <c r="E27" s="6" t="str">
        <f>+'RVK SVÆDI'!E4</f>
        <v>Vesturbær</v>
      </c>
      <c r="F27" s="6" t="str">
        <f>+'RVK SVÆDI'!F4</f>
        <v>Vesturbæjarskóli</v>
      </c>
      <c r="G27" s="375">
        <v>190</v>
      </c>
      <c r="H27" s="112">
        <v>0</v>
      </c>
      <c r="I27" s="112">
        <v>0</v>
      </c>
      <c r="J27" s="6">
        <f>+IF(D27=1,(G27-H27-I27),IF(D27=2,(G27-H27-I27),0))</f>
        <v>190</v>
      </c>
      <c r="K27" s="6"/>
      <c r="L27" s="112">
        <v>2</v>
      </c>
      <c r="M27" s="6">
        <f>+L27*12</f>
        <v>24</v>
      </c>
      <c r="N27" s="112">
        <v>14</v>
      </c>
      <c r="O27" s="112">
        <v>18</v>
      </c>
      <c r="P27" s="6">
        <f>+N27+O27+24</f>
        <v>56</v>
      </c>
      <c r="Q27" s="113">
        <f t="shared" ref="Q27:U30" si="1">IFERROR(IF(AND((Q$238-$P27)/$M27&gt;0,(Q$238-$P27)/$M27&lt;1),(Q$238-$P27)/$M27,IF((Q$238-$P27)/$M27&gt;0,1,0)),0)</f>
        <v>0</v>
      </c>
      <c r="R27" s="113">
        <f t="shared" si="1"/>
        <v>0</v>
      </c>
      <c r="S27" s="113">
        <f t="shared" si="1"/>
        <v>0</v>
      </c>
      <c r="T27" s="113">
        <f t="shared" si="1"/>
        <v>0</v>
      </c>
      <c r="U27" s="113">
        <f t="shared" si="1"/>
        <v>0</v>
      </c>
      <c r="V27" s="114"/>
      <c r="W27" s="114"/>
      <c r="X27" s="114">
        <f t="shared" ref="X27:X127" si="2">S27*($G27-$H27)-SUM(V27:W27)</f>
        <v>0</v>
      </c>
      <c r="Y27" s="114">
        <f t="shared" ref="Y27:Y127" si="3">T27*($G27-$H27)-SUM(V27:X27)</f>
        <v>0</v>
      </c>
      <c r="Z27" s="379">
        <f t="shared" ref="Z27:Z127" si="4">U27*($G27-$H27)-SUM(V27:Y27)</f>
        <v>0</v>
      </c>
      <c r="AA27" s="6"/>
      <c r="AB27" s="6"/>
      <c r="AC27" s="6"/>
      <c r="AD27" s="6"/>
      <c r="AE27" s="6"/>
    </row>
    <row r="28" spans="1:31" s="7" customFormat="1" ht="21" customHeight="1" x14ac:dyDescent="0.25">
      <c r="A28" s="412"/>
      <c r="B28" s="1"/>
      <c r="C28" s="7" t="str">
        <f>+'RVK SVÆDI'!C5</f>
        <v>Héðinsreitur S11</v>
      </c>
      <c r="D28" s="8">
        <v>1</v>
      </c>
      <c r="E28" s="6" t="str">
        <f>+'RVK SVÆDI'!E5</f>
        <v>Vesturbær</v>
      </c>
      <c r="F28" s="6" t="str">
        <f>+'RVK SVÆDI'!F5</f>
        <v>Vesturbæjarskóli</v>
      </c>
      <c r="G28" s="112">
        <v>102</v>
      </c>
      <c r="H28" s="112">
        <v>0</v>
      </c>
      <c r="I28" s="375">
        <v>102</v>
      </c>
      <c r="J28" s="6">
        <f t="shared" ref="J28:J32" si="5">+IF(D28=1,(G28-H28-I28),IF(D28=2,(G28-H28-I28),0))</f>
        <v>0</v>
      </c>
      <c r="K28" s="6"/>
      <c r="L28" s="375">
        <v>1</v>
      </c>
      <c r="M28" s="6">
        <f t="shared" ref="M28:M54" si="6">+L28*12</f>
        <v>12</v>
      </c>
      <c r="N28" s="375">
        <v>0</v>
      </c>
      <c r="O28" s="112">
        <v>3</v>
      </c>
      <c r="P28" s="6">
        <f>+N28+O28+24</f>
        <v>27</v>
      </c>
      <c r="Q28" s="113">
        <f t="shared" si="1"/>
        <v>0</v>
      </c>
      <c r="R28" s="113">
        <f t="shared" si="1"/>
        <v>0</v>
      </c>
      <c r="S28" s="113">
        <f t="shared" si="1"/>
        <v>0.25</v>
      </c>
      <c r="T28" s="113">
        <f t="shared" si="1"/>
        <v>1</v>
      </c>
      <c r="U28" s="113">
        <f t="shared" si="1"/>
        <v>1</v>
      </c>
      <c r="V28" s="114"/>
      <c r="W28" s="114"/>
      <c r="X28" s="377">
        <f t="shared" si="2"/>
        <v>25.5</v>
      </c>
      <c r="Y28" s="377">
        <f t="shared" si="3"/>
        <v>76.5</v>
      </c>
      <c r="Z28" s="114">
        <f t="shared" si="4"/>
        <v>0</v>
      </c>
      <c r="AA28" s="6"/>
      <c r="AB28" s="6"/>
      <c r="AC28" s="6"/>
      <c r="AD28" s="6"/>
      <c r="AE28" s="6"/>
    </row>
    <row r="29" spans="1:31" s="7" customFormat="1" ht="21" customHeight="1" x14ac:dyDescent="0.25">
      <c r="A29" s="412"/>
      <c r="B29" s="1"/>
      <c r="C29" s="7" t="str">
        <f>+'RVK SVÆDI'!C6</f>
        <v>Héðinsreitur V64</v>
      </c>
      <c r="D29" s="8">
        <v>1</v>
      </c>
      <c r="E29" s="6" t="str">
        <f>+'RVK SVÆDI'!E6</f>
        <v>Vesturbær</v>
      </c>
      <c r="F29" s="6" t="str">
        <f>+'RVK SVÆDI'!F6</f>
        <v>Vesturbæjarskóli</v>
      </c>
      <c r="G29" s="112">
        <v>210</v>
      </c>
      <c r="H29" s="112">
        <v>0</v>
      </c>
      <c r="I29" s="375">
        <v>100</v>
      </c>
      <c r="J29" s="6">
        <f t="shared" si="5"/>
        <v>110</v>
      </c>
      <c r="K29" s="6"/>
      <c r="L29" s="112">
        <v>2</v>
      </c>
      <c r="M29" s="6">
        <f t="shared" ref="M29" si="7">+L29*12</f>
        <v>24</v>
      </c>
      <c r="N29" s="112">
        <v>12</v>
      </c>
      <c r="O29" s="112">
        <v>18</v>
      </c>
      <c r="P29" s="6">
        <f>+N29+O29+16</f>
        <v>46</v>
      </c>
      <c r="Q29" s="113">
        <f t="shared" si="1"/>
        <v>0</v>
      </c>
      <c r="R29" s="113">
        <f t="shared" si="1"/>
        <v>0</v>
      </c>
      <c r="S29" s="113">
        <f t="shared" si="1"/>
        <v>0</v>
      </c>
      <c r="T29" s="113">
        <f t="shared" si="1"/>
        <v>0</v>
      </c>
      <c r="U29" s="113">
        <f t="shared" si="1"/>
        <v>0.33333333333333331</v>
      </c>
      <c r="V29" s="114"/>
      <c r="W29" s="114"/>
      <c r="X29" s="114">
        <f t="shared" ref="X29" si="8">S29*($G29-$H29)-SUM(V29:W29)</f>
        <v>0</v>
      </c>
      <c r="Y29" s="379">
        <f t="shared" ref="Y29" si="9">T29*($G29-$H29)-SUM(V29:X29)</f>
        <v>0</v>
      </c>
      <c r="Z29" s="377">
        <f t="shared" ref="Z29" si="10">U29*($G29-$H29)-SUM(V29:Y29)</f>
        <v>70</v>
      </c>
      <c r="AA29" s="6"/>
      <c r="AB29" s="6"/>
      <c r="AC29" s="6"/>
      <c r="AD29" s="6"/>
      <c r="AE29" s="6"/>
    </row>
    <row r="30" spans="1:31" s="7" customFormat="1" ht="21" customHeight="1" x14ac:dyDescent="0.25">
      <c r="A30" s="412"/>
      <c r="B30" s="1"/>
      <c r="C30" s="7" t="s">
        <v>504</v>
      </c>
      <c r="D30" s="8">
        <v>2</v>
      </c>
      <c r="E30" s="6" t="str">
        <f>+'RVK SVÆDI'!E7</f>
        <v>Vesturbær</v>
      </c>
      <c r="F30" s="6" t="str">
        <f>+'RVK SVÆDI'!F7</f>
        <v>Vesturbæjarskóli</v>
      </c>
      <c r="G30" s="112">
        <v>6</v>
      </c>
      <c r="H30" s="112">
        <v>0</v>
      </c>
      <c r="I30" s="112">
        <v>0</v>
      </c>
      <c r="J30" s="6">
        <f t="shared" si="5"/>
        <v>6</v>
      </c>
      <c r="K30" s="6"/>
      <c r="L30" s="112">
        <v>0.5</v>
      </c>
      <c r="M30" s="6">
        <f t="shared" si="6"/>
        <v>6</v>
      </c>
      <c r="N30" s="112">
        <v>24</v>
      </c>
      <c r="O30" s="112">
        <v>14</v>
      </c>
      <c r="P30" s="6">
        <f>+N30+O30+16</f>
        <v>54</v>
      </c>
      <c r="Q30" s="113">
        <f t="shared" si="1"/>
        <v>0</v>
      </c>
      <c r="R30" s="113">
        <f t="shared" si="1"/>
        <v>0</v>
      </c>
      <c r="S30" s="113">
        <f t="shared" si="1"/>
        <v>0</v>
      </c>
      <c r="T30" s="113">
        <f t="shared" si="1"/>
        <v>0</v>
      </c>
      <c r="U30" s="113">
        <f t="shared" si="1"/>
        <v>0</v>
      </c>
      <c r="V30" s="114"/>
      <c r="W30" s="114"/>
      <c r="X30" s="114">
        <f t="shared" ref="X30" si="11">S30*($G30-$H30)-SUM(V30:W30)</f>
        <v>0</v>
      </c>
      <c r="Y30" s="379">
        <f t="shared" ref="Y30" si="12">T30*($G30-$H30)-SUM(V30:X30)</f>
        <v>0</v>
      </c>
      <c r="Z30" s="114">
        <f t="shared" si="4"/>
        <v>0</v>
      </c>
      <c r="AA30" s="6"/>
      <c r="AB30" s="6"/>
      <c r="AC30" s="6"/>
      <c r="AD30" s="6"/>
      <c r="AE30" s="6"/>
    </row>
    <row r="31" spans="1:31" s="181" customFormat="1" ht="21" customHeight="1" x14ac:dyDescent="0.25">
      <c r="A31" s="412"/>
      <c r="B31" s="1"/>
      <c r="C31" s="174" t="str">
        <f>+'RVK SVÆDI'!C8</f>
        <v>Keilugrandi 1</v>
      </c>
      <c r="D31" s="175">
        <v>1</v>
      </c>
      <c r="E31" s="129" t="str">
        <f>+'RVK SVÆDI'!E8</f>
        <v>Vesturbær</v>
      </c>
      <c r="F31" s="129" t="str">
        <f>+'RVK SVÆDI'!F8</f>
        <v>Vesturbæjarskóli</v>
      </c>
      <c r="G31" s="176">
        <v>78</v>
      </c>
      <c r="H31" s="176">
        <v>78</v>
      </c>
      <c r="I31" s="176">
        <v>0</v>
      </c>
      <c r="J31" s="177">
        <f t="shared" si="5"/>
        <v>0</v>
      </c>
      <c r="K31" s="129"/>
      <c r="L31" s="178"/>
      <c r="M31" s="129"/>
      <c r="N31" s="178"/>
      <c r="O31" s="178"/>
      <c r="P31" s="129"/>
      <c r="Q31" s="179"/>
      <c r="R31" s="179"/>
      <c r="S31" s="179"/>
      <c r="T31" s="179"/>
      <c r="U31" s="179"/>
      <c r="V31" s="114"/>
      <c r="W31" s="114"/>
      <c r="X31" s="180"/>
      <c r="Y31" s="180"/>
      <c r="Z31" s="180"/>
      <c r="AA31" s="129"/>
    </row>
    <row r="32" spans="1:31" s="7" customFormat="1" ht="21" customHeight="1" x14ac:dyDescent="0.25">
      <c r="A32" s="412"/>
      <c r="B32" s="1"/>
      <c r="C32" s="365" t="str">
        <f>+'RVK SVÆDI'!C9</f>
        <v>Landhelgisgæslureitur</v>
      </c>
      <c r="D32" s="8">
        <v>4</v>
      </c>
      <c r="E32" s="6" t="str">
        <f>+'RVK SVÆDI'!E9</f>
        <v>Vesturbær</v>
      </c>
      <c r="F32" s="6" t="str">
        <f>+'RVK SVÆDI'!F9</f>
        <v>Vesturbæjarskóli</v>
      </c>
      <c r="G32" s="112">
        <v>75</v>
      </c>
      <c r="H32" s="112">
        <v>0</v>
      </c>
      <c r="I32" s="112">
        <v>0</v>
      </c>
      <c r="J32" s="6">
        <f t="shared" si="5"/>
        <v>0</v>
      </c>
      <c r="K32" s="6"/>
      <c r="L32" s="112">
        <v>1</v>
      </c>
      <c r="M32" s="6">
        <f t="shared" si="6"/>
        <v>12</v>
      </c>
      <c r="N32" s="112">
        <v>48</v>
      </c>
      <c r="O32" s="112">
        <v>14</v>
      </c>
      <c r="P32" s="6">
        <f t="shared" ref="P32:P39" si="13">+N32+O32+24</f>
        <v>86</v>
      </c>
      <c r="Q32" s="113">
        <f t="shared" ref="Q32:U35" si="14">IFERROR(IF(AND((Q$238-$P32)/$M32&gt;0,(Q$238-$P32)/$M32&lt;1),(Q$238-$P32)/$M32,IF((Q$238-$P32)/$M32&gt;0,1,0)),0)</f>
        <v>0</v>
      </c>
      <c r="R32" s="113">
        <f t="shared" si="14"/>
        <v>0</v>
      </c>
      <c r="S32" s="113">
        <f t="shared" si="14"/>
        <v>0</v>
      </c>
      <c r="T32" s="113">
        <f t="shared" si="14"/>
        <v>0</v>
      </c>
      <c r="U32" s="113">
        <f t="shared" si="14"/>
        <v>0</v>
      </c>
      <c r="V32" s="114"/>
      <c r="W32" s="114"/>
      <c r="X32" s="114">
        <f t="shared" si="2"/>
        <v>0</v>
      </c>
      <c r="Y32" s="114">
        <f t="shared" si="3"/>
        <v>0</v>
      </c>
      <c r="Z32" s="114">
        <f t="shared" si="4"/>
        <v>0</v>
      </c>
      <c r="AA32" s="6"/>
      <c r="AB32" s="6"/>
      <c r="AC32" s="6"/>
      <c r="AD32" s="6"/>
      <c r="AE32" s="6"/>
    </row>
    <row r="33" spans="1:31" s="7" customFormat="1" ht="21" customHeight="1" x14ac:dyDescent="0.25">
      <c r="A33" s="412"/>
      <c r="B33" s="1"/>
      <c r="C33" s="7" t="str">
        <f>+'RVK SVÆDI'!C10</f>
        <v>Steindórsreitur</v>
      </c>
      <c r="D33" s="374">
        <v>1</v>
      </c>
      <c r="E33" s="6" t="str">
        <f>+'RVK SVÆDI'!E10</f>
        <v>Vesturbær</v>
      </c>
      <c r="F33" s="6" t="str">
        <f>+'RVK SVÆDI'!F10</f>
        <v>Vesturbæjarskóli</v>
      </c>
      <c r="G33" s="112">
        <v>84</v>
      </c>
      <c r="H33" s="112">
        <v>0</v>
      </c>
      <c r="I33" s="375">
        <v>84</v>
      </c>
      <c r="J33" s="6">
        <f>+IF(D33=1,(G33-H33-I33),IF(D33=2,(G33-H33-I33),0))</f>
        <v>0</v>
      </c>
      <c r="K33" s="6"/>
      <c r="L33" s="112">
        <v>0.5</v>
      </c>
      <c r="M33" s="6">
        <f t="shared" si="6"/>
        <v>6</v>
      </c>
      <c r="N33" s="112">
        <v>0</v>
      </c>
      <c r="O33" s="112">
        <v>14</v>
      </c>
      <c r="P33" s="6">
        <f t="shared" si="13"/>
        <v>38</v>
      </c>
      <c r="Q33" s="113">
        <f t="shared" si="14"/>
        <v>0</v>
      </c>
      <c r="R33" s="113">
        <f t="shared" si="14"/>
        <v>0</v>
      </c>
      <c r="S33" s="113">
        <f t="shared" si="14"/>
        <v>0</v>
      </c>
      <c r="T33" s="113">
        <f t="shared" si="14"/>
        <v>0.66666666666666663</v>
      </c>
      <c r="U33" s="113">
        <f t="shared" si="14"/>
        <v>1</v>
      </c>
      <c r="V33" s="114"/>
      <c r="W33" s="114"/>
      <c r="X33" s="114">
        <f t="shared" si="2"/>
        <v>0</v>
      </c>
      <c r="Y33" s="377">
        <f t="shared" si="3"/>
        <v>56</v>
      </c>
      <c r="Z33" s="377">
        <f t="shared" si="4"/>
        <v>28</v>
      </c>
      <c r="AA33" s="6"/>
      <c r="AB33" s="6"/>
      <c r="AC33" s="6"/>
      <c r="AD33" s="6"/>
      <c r="AE33" s="6"/>
    </row>
    <row r="34" spans="1:31" s="7" customFormat="1" ht="21" customHeight="1" x14ac:dyDescent="0.25">
      <c r="A34" s="412"/>
      <c r="B34" s="1"/>
      <c r="C34" s="7" t="str">
        <f>+'RVK SVÆDI'!C11</f>
        <v>KR-svæði</v>
      </c>
      <c r="D34" s="374">
        <v>3</v>
      </c>
      <c r="E34" s="6" t="str">
        <f>+'RVK SVÆDI'!E11</f>
        <v>Vesturbær</v>
      </c>
      <c r="F34" s="6" t="str">
        <f>+'RVK SVÆDI'!F11</f>
        <v>Grandaskóli</v>
      </c>
      <c r="G34" s="112">
        <v>100</v>
      </c>
      <c r="H34" s="112">
        <v>0</v>
      </c>
      <c r="I34" s="112">
        <v>0</v>
      </c>
      <c r="J34" s="6">
        <f>+IF(D34=1,(G34-H34-I34),IF(D34=2,(G34-H34-I34),0))</f>
        <v>0</v>
      </c>
      <c r="K34" s="6"/>
      <c r="L34" s="375">
        <v>2</v>
      </c>
      <c r="M34" s="6">
        <f t="shared" si="6"/>
        <v>24</v>
      </c>
      <c r="N34" s="375">
        <v>18</v>
      </c>
      <c r="O34" s="112">
        <v>16</v>
      </c>
      <c r="P34" s="6">
        <f t="shared" si="13"/>
        <v>58</v>
      </c>
      <c r="Q34" s="113">
        <f t="shared" si="14"/>
        <v>0</v>
      </c>
      <c r="R34" s="113">
        <f t="shared" si="14"/>
        <v>0</v>
      </c>
      <c r="S34" s="113">
        <f t="shared" si="14"/>
        <v>0</v>
      </c>
      <c r="T34" s="113">
        <f t="shared" si="14"/>
        <v>0</v>
      </c>
      <c r="U34" s="113">
        <f t="shared" si="14"/>
        <v>0</v>
      </c>
      <c r="V34" s="114"/>
      <c r="W34" s="114"/>
      <c r="X34" s="114">
        <f t="shared" si="2"/>
        <v>0</v>
      </c>
      <c r="Y34" s="114">
        <f t="shared" si="3"/>
        <v>0</v>
      </c>
      <c r="Z34" s="114">
        <f t="shared" si="4"/>
        <v>0</v>
      </c>
      <c r="AA34" s="6"/>
      <c r="AB34" s="6"/>
      <c r="AC34" s="6"/>
      <c r="AD34" s="6"/>
      <c r="AE34" s="6"/>
    </row>
    <row r="35" spans="1:31" s="7" customFormat="1" ht="21" customHeight="1" x14ac:dyDescent="0.25">
      <c r="A35" s="412"/>
      <c r="B35" s="1"/>
      <c r="C35" s="365" t="str">
        <f>+'RVK SVÆDI'!C12</f>
        <v>Ægisíða 102 (B)</v>
      </c>
      <c r="D35" s="374">
        <v>4</v>
      </c>
      <c r="E35" s="6" t="str">
        <f>+'RVK SVÆDI'!E12</f>
        <v>Vesturbær</v>
      </c>
      <c r="F35" s="6" t="str">
        <f>+'RVK SVÆDI'!F12</f>
        <v>Hagaskóli</v>
      </c>
      <c r="G35" s="112">
        <v>50</v>
      </c>
      <c r="H35" s="112">
        <v>0</v>
      </c>
      <c r="I35" s="112">
        <v>0</v>
      </c>
      <c r="J35" s="6">
        <f t="shared" ref="J35:J136" si="15">+IF(D35=1,(G35-H35-I35),IF(D35=2,(G35-H35-I35),0))</f>
        <v>0</v>
      </c>
      <c r="K35" s="6"/>
      <c r="L35" s="375">
        <v>1.5</v>
      </c>
      <c r="M35" s="6">
        <f t="shared" si="6"/>
        <v>18</v>
      </c>
      <c r="N35" s="112">
        <v>48</v>
      </c>
      <c r="O35" s="112">
        <v>14</v>
      </c>
      <c r="P35" s="6">
        <f>+N35+O35+18</f>
        <v>80</v>
      </c>
      <c r="Q35" s="113">
        <f t="shared" si="14"/>
        <v>0</v>
      </c>
      <c r="R35" s="113">
        <f t="shared" si="14"/>
        <v>0</v>
      </c>
      <c r="S35" s="113">
        <f t="shared" si="14"/>
        <v>0</v>
      </c>
      <c r="T35" s="113">
        <f t="shared" si="14"/>
        <v>0</v>
      </c>
      <c r="U35" s="113">
        <f t="shared" si="14"/>
        <v>0</v>
      </c>
      <c r="V35" s="114"/>
      <c r="W35" s="114"/>
      <c r="X35" s="114">
        <f t="shared" si="2"/>
        <v>0</v>
      </c>
      <c r="Y35" s="114">
        <f t="shared" si="3"/>
        <v>0</v>
      </c>
      <c r="Z35" s="114">
        <f t="shared" si="4"/>
        <v>0</v>
      </c>
      <c r="AA35" s="6"/>
      <c r="AB35" s="6"/>
      <c r="AC35" s="6"/>
      <c r="AD35" s="6"/>
      <c r="AE35" s="6"/>
    </row>
    <row r="36" spans="1:31" s="181" customFormat="1" ht="21" customHeight="1" x14ac:dyDescent="0.25">
      <c r="A36" s="412"/>
      <c r="B36" s="1"/>
      <c r="C36" s="174" t="str">
        <f>+'RVK SVÆDI'!C13</f>
        <v>Grandi-Fiskislóð</v>
      </c>
      <c r="D36" s="175">
        <v>1</v>
      </c>
      <c r="E36" s="129" t="str">
        <f>+'RVK SVÆDI'!E13</f>
        <v>Vesturbær</v>
      </c>
      <c r="F36" s="129" t="str">
        <f>+'RVK SVÆDI'!F13</f>
        <v>Hagaskóli</v>
      </c>
      <c r="G36" s="176"/>
      <c r="H36" s="176"/>
      <c r="I36" s="176"/>
      <c r="J36" s="177"/>
      <c r="K36" s="129"/>
      <c r="L36" s="178"/>
      <c r="M36" s="129"/>
      <c r="N36" s="178"/>
      <c r="O36" s="178"/>
      <c r="P36" s="129"/>
      <c r="Q36" s="179"/>
      <c r="R36" s="179"/>
      <c r="S36" s="179"/>
      <c r="T36" s="179"/>
      <c r="U36" s="179"/>
      <c r="V36" s="180"/>
      <c r="W36" s="180"/>
      <c r="X36" s="180"/>
      <c r="Y36" s="180"/>
      <c r="Z36" s="180"/>
      <c r="AA36" s="129"/>
    </row>
    <row r="37" spans="1:31" s="181" customFormat="1" ht="21" customHeight="1" x14ac:dyDescent="0.25">
      <c r="A37" s="412"/>
      <c r="B37" s="1"/>
      <c r="C37" s="174" t="str">
        <f>+'RVK SVÆDI'!C14</f>
        <v>Grandagarður Alliance hús, hótel</v>
      </c>
      <c r="D37" s="175">
        <v>2</v>
      </c>
      <c r="E37" s="129" t="str">
        <f>+'RVK SVÆDI'!E14</f>
        <v>Vesturbær</v>
      </c>
      <c r="F37" s="129" t="str">
        <f>+'RVK SVÆDI'!F14</f>
        <v>Hagaskóli</v>
      </c>
      <c r="G37" s="176"/>
      <c r="H37" s="176"/>
      <c r="I37" s="176"/>
      <c r="J37" s="177"/>
      <c r="K37" s="129"/>
      <c r="L37" s="178"/>
      <c r="M37" s="129"/>
      <c r="N37" s="178"/>
      <c r="O37" s="178"/>
      <c r="P37" s="129"/>
      <c r="Q37" s="179"/>
      <c r="R37" s="179"/>
      <c r="S37" s="179"/>
      <c r="T37" s="179"/>
      <c r="U37" s="179"/>
      <c r="V37" s="180"/>
      <c r="W37" s="180"/>
      <c r="X37" s="180"/>
      <c r="Y37" s="180"/>
      <c r="Z37" s="180"/>
      <c r="AA37" s="129"/>
    </row>
    <row r="38" spans="1:31" s="181" customFormat="1" ht="21" customHeight="1" x14ac:dyDescent="0.25">
      <c r="A38" s="412"/>
      <c r="B38" s="1"/>
      <c r="C38" s="174" t="str">
        <f>+'RVK SVÆDI'!C15</f>
        <v>Línbergsreitur</v>
      </c>
      <c r="D38" s="175">
        <v>3</v>
      </c>
      <c r="E38" s="129" t="str">
        <f>+'RVK SVÆDI'!E15</f>
        <v>Vesturbær</v>
      </c>
      <c r="F38" s="129" t="str">
        <f>+'RVK SVÆDI'!F15</f>
        <v>Hagaskóli</v>
      </c>
      <c r="G38" s="176"/>
      <c r="H38" s="176"/>
      <c r="I38" s="176"/>
      <c r="J38" s="177"/>
      <c r="K38" s="129"/>
      <c r="L38" s="178"/>
      <c r="M38" s="129"/>
      <c r="N38" s="178"/>
      <c r="O38" s="178"/>
      <c r="P38" s="129"/>
      <c r="Q38" s="179"/>
      <c r="R38" s="179"/>
      <c r="S38" s="179"/>
      <c r="T38" s="179"/>
      <c r="U38" s="179"/>
      <c r="V38" s="180"/>
      <c r="W38" s="180"/>
      <c r="X38" s="180"/>
      <c r="Y38" s="180"/>
      <c r="Z38" s="180"/>
      <c r="AA38" s="129"/>
    </row>
    <row r="39" spans="1:31" s="7" customFormat="1" ht="21" customHeight="1" x14ac:dyDescent="0.25">
      <c r="A39" s="412"/>
      <c r="B39" s="1"/>
      <c r="C39" s="365" t="str">
        <f>+'RVK SVÆDI'!C16</f>
        <v>HÍ-svæði-vestan Suðurgötu</v>
      </c>
      <c r="D39" s="8">
        <v>4</v>
      </c>
      <c r="E39" s="6" t="str">
        <f>+'RVK SVÆDI'!E16</f>
        <v>Vesturbær</v>
      </c>
      <c r="F39" s="6" t="str">
        <f>+'RVK SVÆDI'!F16</f>
        <v>Hagaskóli</v>
      </c>
      <c r="G39" s="112">
        <v>150</v>
      </c>
      <c r="H39" s="112">
        <v>0</v>
      </c>
      <c r="I39" s="112">
        <v>0</v>
      </c>
      <c r="J39" s="6">
        <f t="shared" si="15"/>
        <v>0</v>
      </c>
      <c r="K39" s="6"/>
      <c r="L39" s="112">
        <v>4</v>
      </c>
      <c r="M39" s="6">
        <f t="shared" si="6"/>
        <v>48</v>
      </c>
      <c r="N39" s="112">
        <v>48</v>
      </c>
      <c r="O39" s="112">
        <v>14</v>
      </c>
      <c r="P39" s="6">
        <f t="shared" si="13"/>
        <v>86</v>
      </c>
      <c r="Q39" s="113">
        <f>IFERROR(IF(AND((Q$238-$P39)/$M39&gt;0,(Q$238-$P39)/$M39&lt;1),(Q$238-$P39)/$M39,IF((Q$238-$P39)/$M39&gt;0,1,0)),0)</f>
        <v>0</v>
      </c>
      <c r="R39" s="113">
        <f>IFERROR(IF(AND((R$238-$P39)/$M39&gt;0,(R$238-$P39)/$M39&lt;1),(R$238-$P39)/$M39,IF((R$238-$P39)/$M39&gt;0,1,0)),0)</f>
        <v>0</v>
      </c>
      <c r="S39" s="113">
        <f>IFERROR(IF(AND((S$238-$P39)/$M39&gt;0,(S$238-$P39)/$M39&lt;1),(S$238-$P39)/$M39,IF((S$238-$P39)/$M39&gt;0,1,0)),0)</f>
        <v>0</v>
      </c>
      <c r="T39" s="113">
        <f>IFERROR(IF(AND((T$238-$P39)/$M39&gt;0,(T$238-$P39)/$M39&lt;1),(T$238-$P39)/$M39,IF((T$238-$P39)/$M39&gt;0,1,0)),0)</f>
        <v>0</v>
      </c>
      <c r="U39" s="113">
        <f>IFERROR(IF(AND((U$238-$P39)/$M39&gt;0,(U$238-$P39)/$M39&lt;1),(U$238-$P39)/$M39,IF((U$238-$P39)/$M39&gt;0,1,0)),0)</f>
        <v>0</v>
      </c>
      <c r="V39" s="114"/>
      <c r="W39" s="114"/>
      <c r="X39" s="114">
        <f t="shared" si="2"/>
        <v>0</v>
      </c>
      <c r="Y39" s="114">
        <f t="shared" si="3"/>
        <v>0</v>
      </c>
      <c r="Z39" s="114">
        <f t="shared" si="4"/>
        <v>0</v>
      </c>
      <c r="AA39" s="6"/>
    </row>
    <row r="40" spans="1:31" s="7" customFormat="1" ht="21" customHeight="1" x14ac:dyDescent="0.25">
      <c r="A40" s="412"/>
      <c r="B40" s="1"/>
      <c r="C40" s="365" t="str">
        <f>+'RVK SVÆDI'!C17</f>
        <v>Hótel Saga - breyting í íbúðir</v>
      </c>
      <c r="D40" s="8">
        <v>1</v>
      </c>
      <c r="E40" s="6" t="str">
        <f>+'RVK SVÆDI'!E17</f>
        <v>Vesturbær</v>
      </c>
      <c r="F40" s="6" t="str">
        <f>+'RVK SVÆDI'!F17</f>
        <v>Hagaskóli</v>
      </c>
      <c r="G40" s="112">
        <v>100</v>
      </c>
      <c r="H40" s="112">
        <v>0</v>
      </c>
      <c r="I40" s="112">
        <v>0</v>
      </c>
      <c r="J40" s="6">
        <f t="shared" ref="J40" si="16">+IF(D40=1,(G40-H40-I40),IF(D40=2,(G40-H40-I40),0))</f>
        <v>100</v>
      </c>
      <c r="K40" s="6"/>
      <c r="L40" s="112"/>
      <c r="M40" s="6"/>
      <c r="N40" s="112"/>
      <c r="O40" s="112"/>
      <c r="P40" s="6"/>
      <c r="Q40" s="113"/>
      <c r="R40" s="113"/>
      <c r="S40" s="113"/>
      <c r="T40" s="113"/>
      <c r="U40" s="113"/>
      <c r="V40" s="114"/>
      <c r="W40" s="114"/>
      <c r="X40" s="112">
        <v>0</v>
      </c>
      <c r="Y40" s="375">
        <v>50</v>
      </c>
      <c r="Z40" s="375">
        <v>50</v>
      </c>
      <c r="AA40" s="6"/>
    </row>
    <row r="41" spans="1:31" s="7" customFormat="1" ht="21" customHeight="1" x14ac:dyDescent="0.25">
      <c r="A41" s="412"/>
      <c r="B41" s="1"/>
      <c r="C41" s="365" t="str">
        <f>+'RVK SVÆDI'!C18</f>
        <v>Dunhagi 18-20</v>
      </c>
      <c r="D41" s="8">
        <v>1</v>
      </c>
      <c r="E41" s="6" t="str">
        <f>+'RVK SVÆDI'!E18</f>
        <v>Vesturbær</v>
      </c>
      <c r="F41" s="6" t="str">
        <f>+'RVK SVÆDI'!F18</f>
        <v>Hagaskóli</v>
      </c>
      <c r="G41" s="112">
        <v>13</v>
      </c>
      <c r="H41" s="112">
        <v>13</v>
      </c>
      <c r="I41" s="112">
        <v>0</v>
      </c>
      <c r="J41" s="6">
        <f t="shared" ref="J41:J42" si="17">+IF(D41=1,(G41-H41-I41),IF(D41=2,(G41-H41-I41),0))</f>
        <v>0</v>
      </c>
      <c r="K41" s="6"/>
      <c r="L41" s="110" t="s">
        <v>306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2"/>
      <c r="W41" s="112"/>
      <c r="X41" s="375">
        <v>13</v>
      </c>
      <c r="Y41" s="112">
        <v>0</v>
      </c>
      <c r="Z41" s="112">
        <v>0</v>
      </c>
      <c r="AA41" s="6"/>
    </row>
    <row r="42" spans="1:31" s="7" customFormat="1" ht="21" customHeight="1" x14ac:dyDescent="0.25">
      <c r="A42" s="365"/>
      <c r="B42" s="1"/>
      <c r="C42" s="365" t="str">
        <f>+'RVK SVÆDI'!C19</f>
        <v>Bræðraborgarstígur</v>
      </c>
      <c r="D42" s="374">
        <v>3</v>
      </c>
      <c r="E42" s="6" t="str">
        <f>+'RVK SVÆDI'!E19</f>
        <v>Vesturbær</v>
      </c>
      <c r="F42" s="6" t="str">
        <f>+'RVK SVÆDI'!F19</f>
        <v>Hagaskóli</v>
      </c>
      <c r="G42" s="112">
        <v>26</v>
      </c>
      <c r="H42" s="112">
        <v>0</v>
      </c>
      <c r="I42" s="112">
        <v>0</v>
      </c>
      <c r="J42" s="6">
        <f t="shared" si="17"/>
        <v>0</v>
      </c>
      <c r="K42" s="6"/>
      <c r="L42" s="112">
        <v>0.5</v>
      </c>
      <c r="M42" s="6">
        <f t="shared" ref="M42" si="18">+L42*12</f>
        <v>6</v>
      </c>
      <c r="N42" s="112">
        <v>24</v>
      </c>
      <c r="O42" s="112">
        <v>14</v>
      </c>
      <c r="P42" s="6">
        <f t="shared" ref="P42" si="19">+N42+O42+24</f>
        <v>62</v>
      </c>
      <c r="Q42" s="113">
        <f>IFERROR(IF(AND((Q$238-$P42)/$M42&gt;0,(Q$238-$P42)/$M42&lt;1),(Q$238-$P42)/$M42,IF((Q$238-$P42)/$M42&gt;0,1,0)),0)</f>
        <v>0</v>
      </c>
      <c r="R42" s="113">
        <f>IFERROR(IF(AND((R$238-$P42)/$M42&gt;0,(R$238-$P42)/$M42&lt;1),(R$238-$P42)/$M42,IF((R$238-$P42)/$M42&gt;0,1,0)),0)</f>
        <v>0</v>
      </c>
      <c r="S42" s="113">
        <f>IFERROR(IF(AND((S$238-$P42)/$M42&gt;0,(S$238-$P42)/$M42&lt;1),(S$238-$P42)/$M42,IF((S$238-$P42)/$M42&gt;0,1,0)),0)</f>
        <v>0</v>
      </c>
      <c r="T42" s="113">
        <f>IFERROR(IF(AND((T$238-$P42)/$M42&gt;0,(T$238-$P42)/$M42&lt;1),(T$238-$P42)/$M42,IF((T$238-$P42)/$M42&gt;0,1,0)),0)</f>
        <v>0</v>
      </c>
      <c r="U42" s="113">
        <f>IFERROR(IF(AND((U$238-$P42)/$M42&gt;0,(U$238-$P42)/$M42&lt;1),(U$238-$P42)/$M42,IF((U$238-$P42)/$M42&gt;0,1,0)),0)</f>
        <v>0</v>
      </c>
      <c r="V42" s="114"/>
      <c r="W42" s="114"/>
      <c r="X42" s="114">
        <f t="shared" ref="X42" si="20">S42*($G42-$H42)-SUM(V42:W42)</f>
        <v>0</v>
      </c>
      <c r="Y42" s="114">
        <f t="shared" ref="Y42" si="21">T42*($G42-$H42)-SUM(V42:X42)</f>
        <v>0</v>
      </c>
      <c r="Z42" s="114">
        <f t="shared" ref="Z42" si="22">U42*($G42-$H42)-SUM(V42:Y42)</f>
        <v>0</v>
      </c>
      <c r="AA42" s="6"/>
    </row>
    <row r="43" spans="1:31" s="181" customFormat="1" ht="21" customHeight="1" x14ac:dyDescent="0.25">
      <c r="A43" s="412"/>
      <c r="B43" s="1"/>
      <c r="C43" s="174" t="str">
        <f>+'RVK SVÆDI'!C20</f>
        <v>HÍ-austan Suðurgötu</v>
      </c>
      <c r="D43" s="175">
        <v>1</v>
      </c>
      <c r="E43" s="129" t="str">
        <f>+'RVK SVÆDI'!E20</f>
        <v>Vatnsmýri</v>
      </c>
      <c r="F43" s="129" t="str">
        <f>+'RVK SVÆDI'!F20</f>
        <v>Hagaskóli</v>
      </c>
      <c r="G43" s="176">
        <v>69</v>
      </c>
      <c r="H43" s="176">
        <v>69</v>
      </c>
      <c r="I43" s="176">
        <f t="shared" ref="I43" si="23">+G43-H43</f>
        <v>0</v>
      </c>
      <c r="J43" s="177">
        <f t="shared" si="15"/>
        <v>0</v>
      </c>
      <c r="K43" s="129"/>
      <c r="L43" s="178"/>
      <c r="M43" s="129"/>
      <c r="N43" s="178"/>
      <c r="O43" s="178"/>
      <c r="P43" s="129"/>
      <c r="Q43" s="179"/>
      <c r="R43" s="179"/>
      <c r="S43" s="179"/>
      <c r="T43" s="179"/>
      <c r="U43" s="179"/>
      <c r="V43" s="114"/>
      <c r="W43" s="114"/>
      <c r="X43" s="180">
        <f t="shared" si="2"/>
        <v>0</v>
      </c>
      <c r="Y43" s="180">
        <f t="shared" si="3"/>
        <v>0</v>
      </c>
      <c r="Z43" s="180">
        <f t="shared" si="4"/>
        <v>0</v>
      </c>
      <c r="AA43" s="129"/>
    </row>
    <row r="44" spans="1:31" s="181" customFormat="1" ht="21" customHeight="1" x14ac:dyDescent="0.25">
      <c r="A44" s="412"/>
      <c r="B44" s="1"/>
      <c r="C44" s="174" t="str">
        <f>+'RVK SVÆDI'!C21</f>
        <v>Vísindagarðar</v>
      </c>
      <c r="D44" s="175">
        <v>1</v>
      </c>
      <c r="E44" s="129" t="str">
        <f>+'RVK SVÆDI'!E21</f>
        <v>Vatnsmýri</v>
      </c>
      <c r="F44" s="129" t="str">
        <f>+'RVK SVÆDI'!F21</f>
        <v>Hagaskóli</v>
      </c>
      <c r="G44" s="176">
        <v>244</v>
      </c>
      <c r="H44" s="176">
        <v>244</v>
      </c>
      <c r="I44" s="176">
        <v>0</v>
      </c>
      <c r="J44" s="177">
        <f t="shared" si="15"/>
        <v>0</v>
      </c>
      <c r="K44" s="129"/>
      <c r="L44" s="178"/>
      <c r="M44" s="129"/>
      <c r="N44" s="178"/>
      <c r="O44" s="178"/>
      <c r="P44" s="129"/>
      <c r="Q44" s="179"/>
      <c r="R44" s="179"/>
      <c r="S44" s="179"/>
      <c r="T44" s="179"/>
      <c r="U44" s="179"/>
      <c r="V44" s="180"/>
      <c r="W44" s="180"/>
      <c r="X44" s="180"/>
      <c r="Y44" s="180"/>
      <c r="Z44" s="180"/>
      <c r="AA44" s="129"/>
    </row>
    <row r="45" spans="1:31" s="181" customFormat="1" ht="21" customHeight="1" x14ac:dyDescent="0.25">
      <c r="A45" s="412"/>
      <c r="B45" s="1"/>
      <c r="C45" s="174" t="str">
        <f>+'RVK SVÆDI'!C22</f>
        <v>Áhaldahúslóð</v>
      </c>
      <c r="D45" s="175">
        <v>4</v>
      </c>
      <c r="E45" s="129" t="str">
        <f>+'RVK SVÆDI'!E22</f>
        <v>Vatnsmýri</v>
      </c>
      <c r="F45" s="129" t="str">
        <f>+'RVK SVÆDI'!F22</f>
        <v>Hagaskóli</v>
      </c>
      <c r="G45" s="176"/>
      <c r="H45" s="176"/>
      <c r="I45" s="176"/>
      <c r="J45" s="177"/>
      <c r="K45" s="129"/>
      <c r="L45" s="178"/>
      <c r="M45" s="129"/>
      <c r="N45" s="178"/>
      <c r="O45" s="178"/>
      <c r="P45" s="129"/>
      <c r="Q45" s="179"/>
      <c r="R45" s="179"/>
      <c r="S45" s="179"/>
      <c r="T45" s="179"/>
      <c r="U45" s="179"/>
      <c r="V45" s="180"/>
      <c r="W45" s="180"/>
      <c r="X45" s="180"/>
      <c r="Y45" s="180"/>
      <c r="Z45" s="180"/>
      <c r="AA45" s="129"/>
    </row>
    <row r="46" spans="1:31" s="7" customFormat="1" ht="21" customHeight="1" x14ac:dyDescent="0.25">
      <c r="A46" s="412"/>
      <c r="B46" s="1"/>
      <c r="C46" s="365" t="str">
        <f>+'RVK SVÆDI'!C23</f>
        <v>Vatnsmýri (svæði nr. 19, 18, 17 sbr. AR) - flugvöllur aflagður</v>
      </c>
      <c r="D46" s="8">
        <v>5</v>
      </c>
      <c r="E46" s="6" t="str">
        <f>+'RVK SVÆDI'!E23</f>
        <v>Vatnsmýri</v>
      </c>
      <c r="F46" s="6" t="str">
        <f>+'RVK SVÆDI'!F23</f>
        <v>Vatnsmýri</v>
      </c>
      <c r="G46" s="112">
        <v>7500</v>
      </c>
      <c r="H46" s="112">
        <v>0</v>
      </c>
      <c r="I46" s="112">
        <v>0</v>
      </c>
      <c r="J46" s="6">
        <f t="shared" si="15"/>
        <v>0</v>
      </c>
      <c r="K46" s="6"/>
      <c r="L46" s="112">
        <v>20</v>
      </c>
      <c r="M46" s="6">
        <f t="shared" si="6"/>
        <v>240</v>
      </c>
      <c r="N46" s="112">
        <v>180</v>
      </c>
      <c r="O46" s="112">
        <v>14</v>
      </c>
      <c r="P46" s="6">
        <f t="shared" ref="P46:P114" si="24">+N46+O46+18</f>
        <v>212</v>
      </c>
      <c r="Q46" s="113">
        <f t="shared" ref="Q46:U47" si="25">IFERROR(IF(AND((Q$238-$P46)/$M46&gt;0,(Q$238-$P46)/$M46&lt;1),(Q$238-$P46)/$M46,IF((Q$238-$P46)/$M46&gt;0,1,0)),0)</f>
        <v>0</v>
      </c>
      <c r="R46" s="113">
        <f t="shared" si="25"/>
        <v>0</v>
      </c>
      <c r="S46" s="113">
        <f t="shared" si="25"/>
        <v>0</v>
      </c>
      <c r="T46" s="113">
        <f t="shared" si="25"/>
        <v>0</v>
      </c>
      <c r="U46" s="113">
        <f t="shared" si="25"/>
        <v>0</v>
      </c>
      <c r="V46" s="114"/>
      <c r="W46" s="114"/>
      <c r="X46" s="114">
        <f t="shared" si="2"/>
        <v>0</v>
      </c>
      <c r="Y46" s="114">
        <f t="shared" si="3"/>
        <v>0</v>
      </c>
      <c r="Z46" s="114">
        <f t="shared" si="4"/>
        <v>0</v>
      </c>
      <c r="AA46" s="6"/>
    </row>
    <row r="47" spans="1:31" s="7" customFormat="1" ht="21" customHeight="1" x14ac:dyDescent="0.25">
      <c r="A47" s="412"/>
      <c r="B47" s="1"/>
      <c r="C47" s="365" t="str">
        <f>+'RVK SVÆDI'!C24</f>
        <v>Fluggarðar</v>
      </c>
      <c r="D47" s="8">
        <v>5</v>
      </c>
      <c r="E47" s="6" t="str">
        <f>+'RVK SVÆDI'!E24</f>
        <v>Vatnsmýri</v>
      </c>
      <c r="F47" s="6" t="str">
        <f>+'RVK SVÆDI'!F24</f>
        <v>Vatnsmýri</v>
      </c>
      <c r="G47" s="112">
        <v>300</v>
      </c>
      <c r="H47" s="112">
        <v>0</v>
      </c>
      <c r="I47" s="112">
        <v>0</v>
      </c>
      <c r="J47" s="6">
        <f t="shared" si="15"/>
        <v>0</v>
      </c>
      <c r="K47" s="6"/>
      <c r="L47" s="112">
        <v>4</v>
      </c>
      <c r="M47" s="6">
        <f t="shared" si="6"/>
        <v>48</v>
      </c>
      <c r="N47" s="112">
        <v>48</v>
      </c>
      <c r="O47" s="112">
        <v>14</v>
      </c>
      <c r="P47" s="6">
        <f t="shared" si="24"/>
        <v>80</v>
      </c>
      <c r="Q47" s="113">
        <f t="shared" si="25"/>
        <v>0</v>
      </c>
      <c r="R47" s="113">
        <f t="shared" si="25"/>
        <v>0</v>
      </c>
      <c r="S47" s="113">
        <f t="shared" si="25"/>
        <v>0</v>
      </c>
      <c r="T47" s="113">
        <f t="shared" si="25"/>
        <v>0</v>
      </c>
      <c r="U47" s="113">
        <f t="shared" si="25"/>
        <v>0</v>
      </c>
      <c r="V47" s="114"/>
      <c r="W47" s="114"/>
      <c r="X47" s="114">
        <f t="shared" si="2"/>
        <v>0</v>
      </c>
      <c r="Y47" s="114">
        <f t="shared" si="3"/>
        <v>0</v>
      </c>
      <c r="Z47" s="114">
        <f t="shared" si="4"/>
        <v>0</v>
      </c>
      <c r="AA47" s="6"/>
    </row>
    <row r="48" spans="1:31" s="7" customFormat="1" ht="21" customHeight="1" x14ac:dyDescent="0.25">
      <c r="A48" s="413"/>
      <c r="B48" s="1"/>
      <c r="C48" s="7" t="str">
        <f>+'RVK SVÆDI'!C25</f>
        <v>Skerjabyggð I</v>
      </c>
      <c r="D48" s="374">
        <v>2</v>
      </c>
      <c r="E48" s="6" t="str">
        <f>+'RVK SVÆDI'!E25</f>
        <v>Vatnsmýri</v>
      </c>
      <c r="F48" s="6" t="str">
        <f>+'RVK SVÆDI'!F25</f>
        <v>Vatnsmýri</v>
      </c>
      <c r="G48" s="112">
        <v>690</v>
      </c>
      <c r="H48" s="112">
        <v>0</v>
      </c>
      <c r="I48" s="112">
        <v>0</v>
      </c>
      <c r="J48" s="6">
        <f t="shared" si="15"/>
        <v>690</v>
      </c>
      <c r="K48" s="6"/>
      <c r="L48" s="110" t="s">
        <v>306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2"/>
      <c r="W48" s="112"/>
      <c r="X48" s="112">
        <v>0</v>
      </c>
      <c r="Y48" s="112">
        <v>0</v>
      </c>
      <c r="Z48" s="112">
        <v>0</v>
      </c>
      <c r="AA48" s="6"/>
    </row>
    <row r="49" spans="1:27" s="7" customFormat="1" ht="21" customHeight="1" x14ac:dyDescent="0.25">
      <c r="A49" s="412"/>
      <c r="B49" s="1"/>
      <c r="C49" s="365" t="str">
        <f>+'RVK SVÆDI'!C26</f>
        <v>Skerjabyggð II</v>
      </c>
      <c r="D49" s="8">
        <v>4</v>
      </c>
      <c r="E49" s="6" t="str">
        <f>+'RVK SVÆDI'!E26</f>
        <v>Vatnsmýri</v>
      </c>
      <c r="F49" s="6" t="str">
        <f>+'RVK SVÆDI'!F26</f>
        <v>Vatnsmýri</v>
      </c>
      <c r="G49" s="112">
        <v>550</v>
      </c>
      <c r="H49" s="112">
        <v>0</v>
      </c>
      <c r="I49" s="112">
        <v>0</v>
      </c>
      <c r="J49" s="6">
        <f t="shared" si="15"/>
        <v>0</v>
      </c>
      <c r="K49" s="6"/>
      <c r="L49" s="112">
        <v>6</v>
      </c>
      <c r="M49" s="6">
        <f t="shared" si="6"/>
        <v>72</v>
      </c>
      <c r="N49" s="112">
        <v>60</v>
      </c>
      <c r="O49" s="112">
        <v>14</v>
      </c>
      <c r="P49" s="6">
        <f t="shared" si="24"/>
        <v>92</v>
      </c>
      <c r="Q49" s="113">
        <f t="shared" ref="Q49:U51" si="26">IFERROR(IF(AND((Q$238-$P49)/$M49&gt;0,(Q$238-$P49)/$M49&lt;1),(Q$238-$P49)/$M49,IF((Q$238-$P49)/$M49&gt;0,1,0)),0)</f>
        <v>0</v>
      </c>
      <c r="R49" s="113">
        <f t="shared" si="26"/>
        <v>0</v>
      </c>
      <c r="S49" s="113">
        <f t="shared" si="26"/>
        <v>0</v>
      </c>
      <c r="T49" s="113">
        <f t="shared" si="26"/>
        <v>0</v>
      </c>
      <c r="U49" s="113">
        <f t="shared" si="26"/>
        <v>0</v>
      </c>
      <c r="V49" s="114"/>
      <c r="W49" s="114"/>
      <c r="X49" s="114">
        <f t="shared" si="2"/>
        <v>0</v>
      </c>
      <c r="Y49" s="114">
        <f t="shared" si="3"/>
        <v>0</v>
      </c>
      <c r="Z49" s="114">
        <f t="shared" si="4"/>
        <v>0</v>
      </c>
      <c r="AA49" s="6"/>
    </row>
    <row r="50" spans="1:27" s="7" customFormat="1" ht="21" customHeight="1" x14ac:dyDescent="0.25">
      <c r="A50" s="412"/>
      <c r="B50" s="1"/>
      <c r="C50" s="7" t="str">
        <f>+'RVK SVÆDI'!C27</f>
        <v>Öskjuhlíð-Nauthólsvegur nemendagarðar</v>
      </c>
      <c r="D50" s="8">
        <v>1</v>
      </c>
      <c r="E50" s="6" t="str">
        <f>+'RVK SVÆDI'!E27</f>
        <v>Vatnsmýri</v>
      </c>
      <c r="F50" s="6" t="str">
        <f>+'RVK SVÆDI'!F27</f>
        <v>Hlíðaskóli</v>
      </c>
      <c r="G50" s="112">
        <v>255</v>
      </c>
      <c r="H50" s="112">
        <v>255</v>
      </c>
      <c r="I50" s="112">
        <v>0</v>
      </c>
      <c r="J50" s="6">
        <f t="shared" si="15"/>
        <v>0</v>
      </c>
      <c r="K50" s="6"/>
      <c r="L50" s="128">
        <v>0.87000000000000033</v>
      </c>
      <c r="M50" s="182">
        <f t="shared" si="6"/>
        <v>10.440000000000005</v>
      </c>
      <c r="N50" s="112">
        <v>-12</v>
      </c>
      <c r="O50" s="112">
        <v>0</v>
      </c>
      <c r="P50" s="6">
        <f t="shared" si="24"/>
        <v>6</v>
      </c>
      <c r="Q50" s="113">
        <f t="shared" si="26"/>
        <v>0</v>
      </c>
      <c r="R50" s="113">
        <f t="shared" si="26"/>
        <v>1</v>
      </c>
      <c r="S50" s="113">
        <f t="shared" si="26"/>
        <v>1</v>
      </c>
      <c r="T50" s="113">
        <f t="shared" si="26"/>
        <v>1</v>
      </c>
      <c r="U50" s="113">
        <f t="shared" si="26"/>
        <v>1</v>
      </c>
      <c r="V50" s="114"/>
      <c r="W50" s="114"/>
      <c r="X50" s="114">
        <f t="shared" si="2"/>
        <v>0</v>
      </c>
      <c r="Y50" s="114">
        <f t="shared" si="3"/>
        <v>0</v>
      </c>
      <c r="Z50" s="114">
        <f t="shared" si="4"/>
        <v>0</v>
      </c>
      <c r="AA50" s="6"/>
    </row>
    <row r="51" spans="1:27" s="7" customFormat="1" ht="21" customHeight="1" x14ac:dyDescent="0.25">
      <c r="A51" s="412"/>
      <c r="B51" s="1"/>
      <c r="C51" s="7" t="str">
        <f>+'RVK SVÆDI'!C28</f>
        <v>Öskjuhlíð-Nauthólsvegur afgangur</v>
      </c>
      <c r="D51" s="8">
        <v>2</v>
      </c>
      <c r="E51" s="6" t="str">
        <f>+'RVK SVÆDI'!E28</f>
        <v>Vatnsmýri</v>
      </c>
      <c r="F51" s="6" t="str">
        <f>+'RVK SVÆDI'!F28</f>
        <v>Hlíðaskóli</v>
      </c>
      <c r="G51" s="112">
        <v>166</v>
      </c>
      <c r="H51" s="112">
        <v>0</v>
      </c>
      <c r="I51" s="112">
        <v>0</v>
      </c>
      <c r="J51" s="6">
        <f t="shared" si="15"/>
        <v>166</v>
      </c>
      <c r="K51" s="6"/>
      <c r="L51" s="112">
        <v>3</v>
      </c>
      <c r="M51" s="6">
        <f t="shared" si="6"/>
        <v>36</v>
      </c>
      <c r="N51" s="112">
        <v>24</v>
      </c>
      <c r="O51" s="112">
        <v>16</v>
      </c>
      <c r="P51" s="6">
        <f t="shared" si="24"/>
        <v>58</v>
      </c>
      <c r="Q51" s="113">
        <f t="shared" si="26"/>
        <v>0</v>
      </c>
      <c r="R51" s="113">
        <f t="shared" si="26"/>
        <v>0</v>
      </c>
      <c r="S51" s="113">
        <f t="shared" si="26"/>
        <v>0</v>
      </c>
      <c r="T51" s="113">
        <f t="shared" si="26"/>
        <v>0</v>
      </c>
      <c r="U51" s="113">
        <f t="shared" si="26"/>
        <v>0</v>
      </c>
      <c r="V51" s="114"/>
      <c r="W51" s="114"/>
      <c r="X51" s="114">
        <f t="shared" si="2"/>
        <v>0</v>
      </c>
      <c r="Y51" s="114">
        <f t="shared" si="3"/>
        <v>0</v>
      </c>
      <c r="Z51" s="114">
        <f t="shared" si="4"/>
        <v>0</v>
      </c>
      <c r="AA51" s="6"/>
    </row>
    <row r="52" spans="1:27" s="7" customFormat="1" ht="21" customHeight="1" x14ac:dyDescent="0.25">
      <c r="A52" s="412"/>
      <c r="B52" s="1"/>
      <c r="C52" s="7" t="str">
        <f>+'RVK SVÆDI'!C29</f>
        <v>Öskjuhlíð-Nauthólsvegur HR</v>
      </c>
      <c r="D52" s="374">
        <v>2</v>
      </c>
      <c r="E52" s="6" t="str">
        <f>+'RVK SVÆDI'!E29</f>
        <v>Vatnsmýri</v>
      </c>
      <c r="F52" s="6" t="str">
        <f>+'RVK SVÆDI'!F29</f>
        <v>Hlíðaskóli</v>
      </c>
      <c r="G52" s="112">
        <v>100</v>
      </c>
      <c r="H52" s="112">
        <v>0</v>
      </c>
      <c r="I52" s="112">
        <v>0</v>
      </c>
      <c r="J52" s="6">
        <f t="shared" ref="J52" si="27">+IF(D52=1,(G52-H52-I52),IF(D52=2,(G52-H52-I52),0))</f>
        <v>100</v>
      </c>
      <c r="K52" s="6"/>
      <c r="L52" s="110"/>
      <c r="M52" s="111"/>
      <c r="N52" s="111"/>
      <c r="O52" s="111"/>
      <c r="P52" s="111"/>
      <c r="Q52" s="111"/>
      <c r="R52" s="111"/>
      <c r="S52" s="111"/>
      <c r="T52" s="111"/>
      <c r="U52" s="111"/>
      <c r="V52" s="112"/>
      <c r="W52" s="112"/>
      <c r="X52" s="112">
        <v>0</v>
      </c>
      <c r="Y52" s="112">
        <v>0</v>
      </c>
      <c r="Z52" s="112">
        <v>0</v>
      </c>
      <c r="AA52" s="6"/>
    </row>
    <row r="53" spans="1:27" s="7" customFormat="1" ht="21" customHeight="1" x14ac:dyDescent="0.25">
      <c r="A53" s="365"/>
      <c r="B53" s="1"/>
      <c r="C53" s="7" t="str">
        <f>+'RVK SVÆDI'!C30</f>
        <v>Öskjuhlíð-Nauthólsvegur 79</v>
      </c>
      <c r="D53" s="374">
        <v>2</v>
      </c>
      <c r="E53" s="6" t="str">
        <f>+'RVK SVÆDI'!E30</f>
        <v>Vatnsmýri</v>
      </c>
      <c r="F53" s="6" t="str">
        <f>+'RVK SVÆDI'!F30</f>
        <v>Hlíðaskóli</v>
      </c>
      <c r="G53" s="112">
        <v>65</v>
      </c>
      <c r="H53" s="112">
        <v>0</v>
      </c>
      <c r="I53" s="112">
        <v>0</v>
      </c>
      <c r="J53" s="6">
        <f t="shared" ref="J53" si="28">+IF(D53=1,(G53-H53-I53),IF(D53=2,(G53-H53-I53),0))</f>
        <v>65</v>
      </c>
      <c r="K53" s="6"/>
      <c r="L53" s="110"/>
      <c r="M53" s="111"/>
      <c r="N53" s="111"/>
      <c r="O53" s="111"/>
      <c r="P53" s="111"/>
      <c r="Q53" s="111"/>
      <c r="R53" s="111"/>
      <c r="S53" s="111"/>
      <c r="T53" s="111"/>
      <c r="U53" s="111"/>
      <c r="V53" s="112"/>
      <c r="W53" s="112"/>
      <c r="X53" s="112">
        <v>0</v>
      </c>
      <c r="Y53" s="112">
        <v>0</v>
      </c>
      <c r="Z53" s="112">
        <v>0</v>
      </c>
      <c r="AA53" s="6"/>
    </row>
    <row r="54" spans="1:27" s="7" customFormat="1" ht="21" customHeight="1" x14ac:dyDescent="0.25">
      <c r="A54" s="412"/>
      <c r="B54" s="1"/>
      <c r="C54" s="365" t="str">
        <f>+'RVK SVÆDI'!C31</f>
        <v>Loftleiðareitur</v>
      </c>
      <c r="D54" s="8">
        <v>4</v>
      </c>
      <c r="E54" s="6" t="str">
        <f>+'RVK SVÆDI'!E31</f>
        <v>Vatnsmýri</v>
      </c>
      <c r="F54" s="6" t="str">
        <f>+'RVK SVÆDI'!F31</f>
        <v>Vatnsmýri</v>
      </c>
      <c r="G54" s="112">
        <v>400</v>
      </c>
      <c r="H54" s="112">
        <v>0</v>
      </c>
      <c r="I54" s="112">
        <v>0</v>
      </c>
      <c r="J54" s="6">
        <f t="shared" si="15"/>
        <v>0</v>
      </c>
      <c r="K54" s="6"/>
      <c r="L54" s="112">
        <v>3</v>
      </c>
      <c r="M54" s="6">
        <f t="shared" si="6"/>
        <v>36</v>
      </c>
      <c r="N54" s="112">
        <v>48</v>
      </c>
      <c r="O54" s="112">
        <v>14</v>
      </c>
      <c r="P54" s="6">
        <f t="shared" ref="P54" si="29">+N54+O54+18</f>
        <v>80</v>
      </c>
      <c r="Q54" s="113">
        <f>IFERROR(IF(AND((Q$238-$P54)/$M54&gt;0,(Q$238-$P54)/$M54&lt;1),(Q$238-$P54)/$M54,IF((Q$238-$P54)/$M54&gt;0,1,0)),0)</f>
        <v>0</v>
      </c>
      <c r="R54" s="113">
        <f>IFERROR(IF(AND((R$238-$P54)/$M54&gt;0,(R$238-$P54)/$M54&lt;1),(R$238-$P54)/$M54,IF((R$238-$P54)/$M54&gt;0,1,0)),0)</f>
        <v>0</v>
      </c>
      <c r="S54" s="113">
        <f>IFERROR(IF(AND((S$238-$P54)/$M54&gt;0,(S$238-$P54)/$M54&lt;1),(S$238-$P54)/$M54,IF((S$238-$P54)/$M54&gt;0,1,0)),0)</f>
        <v>0</v>
      </c>
      <c r="T54" s="113">
        <f>IFERROR(IF(AND((T$238-$P54)/$M54&gt;0,(T$238-$P54)/$M54&lt;1),(T$238-$P54)/$M54,IF((T$238-$P54)/$M54&gt;0,1,0)),0)</f>
        <v>0</v>
      </c>
      <c r="U54" s="113">
        <f>IFERROR(IF(AND((U$238-$P54)/$M54&gt;0,(U$238-$P54)/$M54&lt;1),(U$238-$P54)/$M54,IF((U$238-$P54)/$M54&gt;0,1,0)),0)</f>
        <v>0</v>
      </c>
      <c r="V54" s="114"/>
      <c r="W54" s="114"/>
      <c r="X54" s="114">
        <f t="shared" si="2"/>
        <v>0</v>
      </c>
      <c r="Y54" s="114">
        <f t="shared" si="3"/>
        <v>0</v>
      </c>
      <c r="Z54" s="114">
        <f t="shared" si="4"/>
        <v>0</v>
      </c>
      <c r="AA54" s="6"/>
    </row>
    <row r="55" spans="1:27" s="7" customFormat="1" ht="21" customHeight="1" x14ac:dyDescent="0.25">
      <c r="A55" s="412"/>
      <c r="B55" s="1"/>
      <c r="C55" s="7" t="str">
        <f>+'RVK SVÆDI'!C32</f>
        <v>Hlíðarendi C</v>
      </c>
      <c r="D55" s="8">
        <v>1</v>
      </c>
      <c r="E55" s="6" t="str">
        <f>+'RVK SVÆDI'!E32</f>
        <v>Vatnsmýri</v>
      </c>
      <c r="F55" s="6" t="str">
        <f>+'RVK SVÆDI'!F32</f>
        <v>Hlíðaskóli</v>
      </c>
      <c r="G55" s="112">
        <v>156</v>
      </c>
      <c r="H55" s="375">
        <v>32</v>
      </c>
      <c r="I55" s="375">
        <f>+G55-H55</f>
        <v>124</v>
      </c>
      <c r="J55" s="6">
        <f t="shared" si="15"/>
        <v>0</v>
      </c>
      <c r="K55" s="6"/>
      <c r="L55" s="110" t="s">
        <v>306</v>
      </c>
      <c r="M55" s="111"/>
      <c r="N55" s="111"/>
      <c r="O55" s="111"/>
      <c r="P55" s="111"/>
      <c r="Q55" s="111"/>
      <c r="R55" s="111"/>
      <c r="S55" s="111"/>
      <c r="T55" s="111"/>
      <c r="U55" s="111"/>
      <c r="V55" s="114"/>
      <c r="W55" s="114">
        <v>32</v>
      </c>
      <c r="X55" s="375">
        <v>76</v>
      </c>
      <c r="Y55" s="375">
        <v>48</v>
      </c>
      <c r="Z55" s="112">
        <v>0</v>
      </c>
      <c r="AA55" s="6"/>
    </row>
    <row r="56" spans="1:27" s="181" customFormat="1" ht="21" customHeight="1" x14ac:dyDescent="0.25">
      <c r="A56" s="412"/>
      <c r="B56" s="1"/>
      <c r="C56" s="174" t="str">
        <f>+'RVK SVÆDI'!C33</f>
        <v>Hlíðarendi D</v>
      </c>
      <c r="D56" s="175">
        <v>1</v>
      </c>
      <c r="E56" s="129" t="str">
        <f>+'RVK SVÆDI'!E33</f>
        <v>Vatnsmýri</v>
      </c>
      <c r="F56" s="129" t="str">
        <f>+'RVK SVÆDI'!F33</f>
        <v>Hlíðaskóli</v>
      </c>
      <c r="G56" s="176">
        <v>142</v>
      </c>
      <c r="H56" s="176">
        <v>142</v>
      </c>
      <c r="I56" s="176">
        <f t="shared" ref="I56:I58" si="30">+G56-H56</f>
        <v>0</v>
      </c>
      <c r="J56" s="177">
        <f t="shared" si="15"/>
        <v>0</v>
      </c>
      <c r="K56" s="129"/>
      <c r="L56" s="178"/>
      <c r="M56" s="129"/>
      <c r="N56" s="178"/>
      <c r="O56" s="178"/>
      <c r="P56" s="129"/>
      <c r="Q56" s="179"/>
      <c r="R56" s="179"/>
      <c r="S56" s="179"/>
      <c r="T56" s="179"/>
      <c r="U56" s="179"/>
      <c r="V56" s="114"/>
      <c r="W56" s="114"/>
      <c r="X56" s="180"/>
      <c r="Y56" s="180"/>
      <c r="Z56" s="180"/>
      <c r="AA56" s="129"/>
    </row>
    <row r="57" spans="1:27" s="181" customFormat="1" ht="21" customHeight="1" x14ac:dyDescent="0.25">
      <c r="A57" s="412"/>
      <c r="B57" s="1"/>
      <c r="C57" s="174" t="str">
        <f>+'RVK SVÆDI'!C34</f>
        <v>Hlíðarendi E</v>
      </c>
      <c r="D57" s="175">
        <v>1</v>
      </c>
      <c r="E57" s="129" t="str">
        <f>+'RVK SVÆDI'!E34</f>
        <v>Vatnsmýri</v>
      </c>
      <c r="F57" s="129" t="str">
        <f>+'RVK SVÆDI'!F34</f>
        <v>Hlíðaskóli</v>
      </c>
      <c r="G57" s="176">
        <v>178</v>
      </c>
      <c r="H57" s="176">
        <v>178</v>
      </c>
      <c r="I57" s="176">
        <f t="shared" si="30"/>
        <v>0</v>
      </c>
      <c r="J57" s="177">
        <f t="shared" si="15"/>
        <v>0</v>
      </c>
      <c r="K57" s="129"/>
      <c r="L57" s="178"/>
      <c r="M57" s="129"/>
      <c r="N57" s="178"/>
      <c r="O57" s="178"/>
      <c r="P57" s="129"/>
      <c r="Q57" s="179"/>
      <c r="R57" s="179"/>
      <c r="S57" s="179"/>
      <c r="T57" s="179"/>
      <c r="U57" s="179"/>
      <c r="V57" s="114"/>
      <c r="W57" s="114"/>
      <c r="X57" s="180"/>
      <c r="Y57" s="180"/>
      <c r="Z57" s="180"/>
      <c r="AA57" s="129"/>
    </row>
    <row r="58" spans="1:27" s="181" customFormat="1" ht="21" customHeight="1" x14ac:dyDescent="0.25">
      <c r="A58" s="412"/>
      <c r="B58" s="1"/>
      <c r="C58" s="174" t="str">
        <f>+'RVK SVÆDI'!C35</f>
        <v>Hlíðarendi F</v>
      </c>
      <c r="D58" s="175">
        <v>1</v>
      </c>
      <c r="E58" s="129" t="str">
        <f>+'RVK SVÆDI'!E35</f>
        <v>Vatnsmýri</v>
      </c>
      <c r="F58" s="129" t="str">
        <f>+'RVK SVÆDI'!F35</f>
        <v>Hlíðaskóli</v>
      </c>
      <c r="G58" s="176">
        <v>191</v>
      </c>
      <c r="H58" s="176">
        <v>191</v>
      </c>
      <c r="I58" s="176">
        <f t="shared" si="30"/>
        <v>0</v>
      </c>
      <c r="J58" s="177">
        <f t="shared" si="15"/>
        <v>0</v>
      </c>
      <c r="K58" s="129"/>
      <c r="L58" s="178"/>
      <c r="M58" s="129"/>
      <c r="N58" s="178"/>
      <c r="O58" s="178"/>
      <c r="P58" s="129"/>
      <c r="Q58" s="179"/>
      <c r="R58" s="179"/>
      <c r="S58" s="179"/>
      <c r="T58" s="179"/>
      <c r="U58" s="179"/>
      <c r="V58" s="180"/>
      <c r="W58" s="180"/>
      <c r="X58" s="180"/>
      <c r="Y58" s="180"/>
      <c r="Z58" s="180"/>
      <c r="AA58" s="129"/>
    </row>
    <row r="59" spans="1:27" s="7" customFormat="1" ht="21" customHeight="1" x14ac:dyDescent="0.25">
      <c r="A59" s="412"/>
      <c r="B59" s="1"/>
      <c r="C59" s="7" t="str">
        <f>+'RVK SVÆDI'!C36</f>
        <v>Hlíðarendi reitir A,G,H,I</v>
      </c>
      <c r="D59" s="8">
        <v>2</v>
      </c>
      <c r="E59" s="6" t="str">
        <f>+'RVK SVÆDI'!E36</f>
        <v>Vatnsmýri</v>
      </c>
      <c r="F59" s="6" t="str">
        <f>+'RVK SVÆDI'!F36</f>
        <v>Hlíðaskóli</v>
      </c>
      <c r="G59" s="375">
        <v>527</v>
      </c>
      <c r="H59" s="112">
        <v>0</v>
      </c>
      <c r="I59" s="112">
        <v>0</v>
      </c>
      <c r="J59" s="6">
        <f>+IF(D59=1,(G59-H59-I59),IF(D59=2,(G59-H59-I59),0))</f>
        <v>527</v>
      </c>
      <c r="K59" s="6"/>
      <c r="L59" s="375">
        <v>3</v>
      </c>
      <c r="M59" s="6">
        <f t="shared" ref="M59" si="31">+L59*12</f>
        <v>36</v>
      </c>
      <c r="N59" s="112">
        <v>10.5</v>
      </c>
      <c r="O59" s="112">
        <v>12</v>
      </c>
      <c r="P59" s="6">
        <f>+N59+O59+24</f>
        <v>46.5</v>
      </c>
      <c r="Q59" s="113">
        <f>IFERROR(IF(AND((Q$238-$P59)/$M59&gt;0,(Q$238-$P59)/$M59&lt;1),(Q$238-$P59)/$M59,IF((Q$238-$P59)/$M59&gt;0,1,0)),0)</f>
        <v>0</v>
      </c>
      <c r="R59" s="113">
        <f>IFERROR(IF(AND((R$238-$P59)/$M59&gt;0,(R$238-$P59)/$M59&lt;1),(R$238-$P59)/$M59,IF((R$238-$P59)/$M59&gt;0,1,0)),0)</f>
        <v>0</v>
      </c>
      <c r="S59" s="113">
        <f>IFERROR(IF(AND((S$238-$P59)/$M59&gt;0,(S$238-$P59)/$M59&lt;1),(S$238-$P59)/$M59,IF((S$238-$P59)/$M59&gt;0,1,0)),0)</f>
        <v>0</v>
      </c>
      <c r="T59" s="113">
        <f>IFERROR(IF(AND((T$238-$P59)/$M59&gt;0,(T$238-$P59)/$M59&lt;1),(T$238-$P59)/$M59,IF((T$238-$P59)/$M59&gt;0,1,0)),0)</f>
        <v>0</v>
      </c>
      <c r="U59" s="113">
        <f>IFERROR(IF(AND((U$238-$P59)/$M59&gt;0,(U$238-$P59)/$M59&lt;1),(U$238-$P59)/$M59,IF((U$238-$P59)/$M59&gt;0,1,0)),0)</f>
        <v>0.20833333333333334</v>
      </c>
      <c r="V59" s="114"/>
      <c r="W59" s="114"/>
      <c r="X59" s="114">
        <f t="shared" ref="X59" si="32">S59*($G59-$H59)-SUM(V59:W59)</f>
        <v>0</v>
      </c>
      <c r="Y59" s="114">
        <f t="shared" ref="Y59" si="33">T59*($G59-$H59)-SUM(V59:X59)</f>
        <v>0</v>
      </c>
      <c r="Z59" s="114">
        <f t="shared" ref="Z59" si="34">U59*($G59-$H59)-SUM(V59:Y59)</f>
        <v>109.79166666666667</v>
      </c>
      <c r="AA59" s="6"/>
    </row>
    <row r="60" spans="1:27" s="181" customFormat="1" ht="21" customHeight="1" x14ac:dyDescent="0.25">
      <c r="A60" s="412"/>
      <c r="B60" s="1"/>
      <c r="C60" s="174" t="str">
        <f>+'RVK SVÆDI'!C37</f>
        <v>Austurhöfn</v>
      </c>
      <c r="D60" s="175">
        <v>1</v>
      </c>
      <c r="E60" s="129" t="str">
        <f>+'RVK SVÆDI'!E37</f>
        <v>Miðborg</v>
      </c>
      <c r="F60" s="129" t="str">
        <f>+'RVK SVÆDI'!F37</f>
        <v>Vesturbæjarskóli</v>
      </c>
      <c r="G60" s="176">
        <v>71</v>
      </c>
      <c r="H60" s="176">
        <v>71</v>
      </c>
      <c r="I60" s="176">
        <f t="shared" ref="I60:I73" si="35">+G60-H60</f>
        <v>0</v>
      </c>
      <c r="J60" s="177">
        <f t="shared" si="15"/>
        <v>0</v>
      </c>
      <c r="K60" s="129"/>
      <c r="L60" s="178"/>
      <c r="M60" s="129"/>
      <c r="N60" s="178"/>
      <c r="O60" s="178"/>
      <c r="P60" s="129"/>
      <c r="Q60" s="179"/>
      <c r="R60" s="179"/>
      <c r="S60" s="179"/>
      <c r="T60" s="179"/>
      <c r="U60" s="179"/>
      <c r="V60" s="180"/>
      <c r="W60" s="180"/>
      <c r="X60" s="180"/>
      <c r="Y60" s="180"/>
      <c r="Z60" s="180"/>
      <c r="AA60" s="129"/>
    </row>
    <row r="61" spans="1:27" s="181" customFormat="1" ht="21" customHeight="1" x14ac:dyDescent="0.25">
      <c r="A61" s="412"/>
      <c r="B61" s="1"/>
      <c r="C61" s="174" t="str">
        <f>+'RVK SVÆDI'!C38</f>
        <v>Hafnartorg</v>
      </c>
      <c r="D61" s="175">
        <v>1</v>
      </c>
      <c r="E61" s="129" t="str">
        <f>+'RVK SVÆDI'!E38</f>
        <v>Miðborg</v>
      </c>
      <c r="F61" s="129" t="str">
        <f>+'RVK SVÆDI'!F38</f>
        <v>Vesturbæjarskóli</v>
      </c>
      <c r="G61" s="176">
        <v>70</v>
      </c>
      <c r="H61" s="176">
        <v>70</v>
      </c>
      <c r="I61" s="176">
        <v>0</v>
      </c>
      <c r="J61" s="177">
        <f t="shared" si="15"/>
        <v>0</v>
      </c>
      <c r="K61" s="129"/>
      <c r="L61" s="178"/>
      <c r="M61" s="129"/>
      <c r="N61" s="178"/>
      <c r="O61" s="178"/>
      <c r="P61" s="129"/>
      <c r="Q61" s="179"/>
      <c r="R61" s="179"/>
      <c r="S61" s="179"/>
      <c r="T61" s="179"/>
      <c r="U61" s="179"/>
      <c r="V61" s="180"/>
      <c r="W61" s="180"/>
      <c r="X61" s="180"/>
      <c r="Y61" s="180"/>
      <c r="Z61" s="180"/>
      <c r="AA61" s="129"/>
    </row>
    <row r="62" spans="1:27" s="181" customFormat="1" ht="21" customHeight="1" x14ac:dyDescent="0.25">
      <c r="A62" s="412"/>
      <c r="B62" s="1"/>
      <c r="C62" s="174" t="str">
        <f>+'RVK SVÆDI'!C39</f>
        <v>Alþingisreitur</v>
      </c>
      <c r="D62" s="175">
        <v>1</v>
      </c>
      <c r="E62" s="129" t="str">
        <f>+'RVK SVÆDI'!E39</f>
        <v>Miðborg</v>
      </c>
      <c r="F62" s="129" t="str">
        <f>+'RVK SVÆDI'!F39</f>
        <v>Vesturbæjarskóli</v>
      </c>
      <c r="G62" s="176"/>
      <c r="H62" s="176"/>
      <c r="I62" s="176"/>
      <c r="J62" s="177"/>
      <c r="K62" s="129"/>
      <c r="L62" s="178"/>
      <c r="M62" s="129"/>
      <c r="N62" s="178"/>
      <c r="O62" s="178"/>
      <c r="P62" s="129"/>
      <c r="Q62" s="179"/>
      <c r="R62" s="179"/>
      <c r="S62" s="179"/>
      <c r="T62" s="179"/>
      <c r="U62" s="179"/>
      <c r="V62" s="180"/>
      <c r="W62" s="180"/>
      <c r="X62" s="180"/>
      <c r="Y62" s="180"/>
      <c r="Z62" s="180"/>
      <c r="AA62" s="129"/>
    </row>
    <row r="63" spans="1:27" s="181" customFormat="1" ht="21" customHeight="1" x14ac:dyDescent="0.25">
      <c r="A63" s="412"/>
      <c r="B63" s="1"/>
      <c r="C63" s="174" t="str">
        <f>+'RVK SVÆDI'!C40</f>
        <v>Stjórnarráðsreitur</v>
      </c>
      <c r="D63" s="175">
        <v>3</v>
      </c>
      <c r="E63" s="129" t="str">
        <f>+'RVK SVÆDI'!E40</f>
        <v>Miðborg</v>
      </c>
      <c r="F63" s="129" t="str">
        <f>+'RVK SVÆDI'!F40</f>
        <v>Vesturbæjarskóli</v>
      </c>
      <c r="G63" s="176"/>
      <c r="H63" s="176"/>
      <c r="I63" s="176"/>
      <c r="J63" s="177"/>
      <c r="K63" s="129"/>
      <c r="L63" s="178"/>
      <c r="M63" s="129"/>
      <c r="N63" s="178"/>
      <c r="O63" s="178"/>
      <c r="P63" s="129"/>
      <c r="Q63" s="179"/>
      <c r="R63" s="179"/>
      <c r="S63" s="179"/>
      <c r="T63" s="179"/>
      <c r="U63" s="179"/>
      <c r="V63" s="180"/>
      <c r="W63" s="180"/>
      <c r="X63" s="180"/>
      <c r="Y63" s="180"/>
      <c r="Z63" s="180"/>
      <c r="AA63" s="129"/>
    </row>
    <row r="64" spans="1:27" s="181" customFormat="1" ht="21" customHeight="1" x14ac:dyDescent="0.25">
      <c r="A64" s="412"/>
      <c r="B64" s="1"/>
      <c r="C64" s="174" t="str">
        <f>+'RVK SVÆDI'!C41</f>
        <v>Stjórnarráð viðbygging</v>
      </c>
      <c r="D64" s="175">
        <v>3</v>
      </c>
      <c r="E64" s="129" t="str">
        <f>+'RVK SVÆDI'!E41</f>
        <v>Miðborg</v>
      </c>
      <c r="F64" s="129" t="str">
        <f>+'RVK SVÆDI'!F41</f>
        <v>Vesturbæjarskóli</v>
      </c>
      <c r="G64" s="176"/>
      <c r="H64" s="176"/>
      <c r="I64" s="176"/>
      <c r="J64" s="177"/>
      <c r="K64" s="129"/>
      <c r="L64" s="178"/>
      <c r="M64" s="129"/>
      <c r="N64" s="178"/>
      <c r="O64" s="178"/>
      <c r="P64" s="129"/>
      <c r="Q64" s="179"/>
      <c r="R64" s="179"/>
      <c r="S64" s="179"/>
      <c r="T64" s="179"/>
      <c r="U64" s="179"/>
      <c r="V64" s="180"/>
      <c r="W64" s="180"/>
      <c r="X64" s="180"/>
      <c r="Y64" s="180"/>
      <c r="Z64" s="180"/>
      <c r="AA64" s="129"/>
    </row>
    <row r="65" spans="1:27" s="7" customFormat="1" ht="21" customHeight="1" x14ac:dyDescent="0.25">
      <c r="A65" s="412"/>
      <c r="B65" s="1"/>
      <c r="C65" s="365" t="str">
        <f>+'RVK SVÆDI'!C42</f>
        <v>Miðborg - Kvos-Miðbakki</v>
      </c>
      <c r="D65" s="8">
        <v>4</v>
      </c>
      <c r="E65" s="6" t="str">
        <f>+'RVK SVÆDI'!E42</f>
        <v>Miðborg</v>
      </c>
      <c r="F65" s="6" t="str">
        <f>+'RVK SVÆDI'!F42</f>
        <v>Vesturbæjarskóli</v>
      </c>
      <c r="G65" s="112">
        <v>200</v>
      </c>
      <c r="H65" s="112">
        <v>0</v>
      </c>
      <c r="I65" s="112">
        <v>0</v>
      </c>
      <c r="J65" s="6">
        <f t="shared" si="15"/>
        <v>0</v>
      </c>
      <c r="K65" s="6"/>
      <c r="L65" s="112">
        <v>2</v>
      </c>
      <c r="M65" s="6">
        <f t="shared" ref="M65" si="36">+L65*12</f>
        <v>24</v>
      </c>
      <c r="N65" s="112">
        <v>60</v>
      </c>
      <c r="O65" s="112">
        <v>16</v>
      </c>
      <c r="P65" s="6">
        <f>+N65+O65+24</f>
        <v>100</v>
      </c>
      <c r="Q65" s="113">
        <f>IFERROR(IF(AND((Q$238-$P65)/$M65&gt;0,(Q$238-$P65)/$M65&lt;1),(Q$238-$P65)/$M65,IF((Q$238-$P65)/$M65&gt;0,1,0)),0)</f>
        <v>0</v>
      </c>
      <c r="R65" s="113">
        <f>IFERROR(IF(AND((R$238-$P65)/$M65&gt;0,(R$238-$P65)/$M65&lt;1),(R$238-$P65)/$M65,IF((R$238-$P65)/$M65&gt;0,1,0)),0)</f>
        <v>0</v>
      </c>
      <c r="S65" s="113">
        <f>IFERROR(IF(AND((S$238-$P65)/$M65&gt;0,(S$238-$P65)/$M65&lt;1),(S$238-$P65)/$M65,IF((S$238-$P65)/$M65&gt;0,1,0)),0)</f>
        <v>0</v>
      </c>
      <c r="T65" s="113">
        <f>IFERROR(IF(AND((T$238-$P65)/$M65&gt;0,(T$238-$P65)/$M65&lt;1),(T$238-$P65)/$M65,IF((T$238-$P65)/$M65&gt;0,1,0)),0)</f>
        <v>0</v>
      </c>
      <c r="U65" s="113">
        <f>IFERROR(IF(AND((U$238-$P65)/$M65&gt;0,(U$238-$P65)/$M65&lt;1),(U$238-$P65)/$M65,IF((U$238-$P65)/$M65&gt;0,1,0)),0)</f>
        <v>0</v>
      </c>
      <c r="V65" s="114"/>
      <c r="W65" s="114"/>
      <c r="X65" s="114">
        <f t="shared" si="2"/>
        <v>0</v>
      </c>
      <c r="Y65" s="114">
        <f t="shared" si="3"/>
        <v>0</v>
      </c>
      <c r="Z65" s="114">
        <f t="shared" si="4"/>
        <v>0</v>
      </c>
      <c r="AA65" s="6"/>
    </row>
    <row r="66" spans="1:27" s="181" customFormat="1" ht="21" customHeight="1" x14ac:dyDescent="0.25">
      <c r="A66" s="412"/>
      <c r="B66" s="1"/>
      <c r="C66" s="174" t="str">
        <f>+'RVK SVÆDI'!C43</f>
        <v>Nýlendureitur</v>
      </c>
      <c r="D66" s="175">
        <v>1</v>
      </c>
      <c r="E66" s="129" t="str">
        <f>+'RVK SVÆDI'!E43</f>
        <v>Miðborg</v>
      </c>
      <c r="F66" s="129" t="str">
        <f>+'RVK SVÆDI'!F43</f>
        <v>Vesturbæjarskóli</v>
      </c>
      <c r="G66" s="176">
        <v>7</v>
      </c>
      <c r="H66" s="176">
        <v>7</v>
      </c>
      <c r="I66" s="176">
        <v>0</v>
      </c>
      <c r="J66" s="177">
        <f t="shared" si="15"/>
        <v>0</v>
      </c>
      <c r="K66" s="129"/>
      <c r="L66" s="178"/>
      <c r="M66" s="129"/>
      <c r="N66" s="178"/>
      <c r="O66" s="178"/>
      <c r="P66" s="129"/>
      <c r="Q66" s="179"/>
      <c r="R66" s="179"/>
      <c r="S66" s="179"/>
      <c r="T66" s="179"/>
      <c r="U66" s="179"/>
      <c r="V66" s="180"/>
      <c r="W66" s="180"/>
      <c r="X66" s="180"/>
      <c r="Y66" s="180"/>
      <c r="Z66" s="180"/>
      <c r="AA66" s="129"/>
    </row>
    <row r="67" spans="1:27" s="7" customFormat="1" ht="21" customHeight="1" x14ac:dyDescent="0.25">
      <c r="A67" s="412"/>
      <c r="B67" s="1"/>
      <c r="C67" s="365" t="str">
        <f>+'RVK SVÆDI'!C44</f>
        <v>Miðborg -Laugavegur (afgangur)</v>
      </c>
      <c r="D67" s="8">
        <v>4</v>
      </c>
      <c r="E67" s="6" t="str">
        <f>+'RVK SVÆDI'!E44</f>
        <v>Miðborg</v>
      </c>
      <c r="F67" s="6" t="str">
        <f>+'RVK SVÆDI'!F44</f>
        <v>Austurbæjarskóli</v>
      </c>
      <c r="G67" s="183">
        <v>100</v>
      </c>
      <c r="H67" s="112">
        <v>0</v>
      </c>
      <c r="I67" s="112">
        <v>0</v>
      </c>
      <c r="J67" s="6">
        <f t="shared" si="15"/>
        <v>0</v>
      </c>
      <c r="K67" s="6"/>
      <c r="L67" s="112">
        <v>20</v>
      </c>
      <c r="M67" s="6">
        <f t="shared" ref="M67" si="37">+L67*12</f>
        <v>240</v>
      </c>
      <c r="N67" s="112">
        <v>-18</v>
      </c>
      <c r="O67" s="112">
        <v>0</v>
      </c>
      <c r="P67" s="6">
        <f>+N67+O67+24</f>
        <v>6</v>
      </c>
      <c r="Q67" s="113">
        <f>IFERROR(IF(AND((Q$238-$P67)/$M67&gt;0,(Q$238-$P67)/$M67&lt;1),(Q$238-$P67)/$M67,IF((Q$238-$P67)/$M67&gt;0,1,0)),0)</f>
        <v>0</v>
      </c>
      <c r="R67" s="113">
        <f>IFERROR(IF(AND((R$238-$P67)/$M67&gt;0,(R$238-$P67)/$M67&lt;1),(R$238-$P67)/$M67,IF((R$238-$P67)/$M67&gt;0,1,0)),0)</f>
        <v>0.05</v>
      </c>
      <c r="S67" s="113">
        <f>IFERROR(IF(AND((S$238-$P67)/$M67&gt;0,(S$238-$P67)/$M67&lt;1),(S$238-$P67)/$M67,IF((S$238-$P67)/$M67&gt;0,1,0)),0)</f>
        <v>0.1</v>
      </c>
      <c r="T67" s="113">
        <f>IFERROR(IF(AND((T$238-$P67)/$M67&gt;0,(T$238-$P67)/$M67&lt;1),(T$238-$P67)/$M67,IF((T$238-$P67)/$M67&gt;0,1,0)),0)</f>
        <v>0.15</v>
      </c>
      <c r="U67" s="113">
        <f>IFERROR(IF(AND((U$238-$P67)/$M67&gt;0,(U$238-$P67)/$M67&lt;1),(U$238-$P67)/$M67,IF((U$238-$P67)/$M67&gt;0,1,0)),0)</f>
        <v>0.2</v>
      </c>
      <c r="V67" s="114"/>
      <c r="W67" s="114"/>
      <c r="X67" s="114">
        <f t="shared" si="2"/>
        <v>10</v>
      </c>
      <c r="Y67" s="114">
        <f t="shared" si="3"/>
        <v>5</v>
      </c>
      <c r="Z67" s="114">
        <f t="shared" si="4"/>
        <v>5</v>
      </c>
      <c r="AA67" s="6"/>
    </row>
    <row r="68" spans="1:27" s="181" customFormat="1" ht="21" customHeight="1" x14ac:dyDescent="0.25">
      <c r="A68" s="412"/>
      <c r="B68" s="1"/>
      <c r="C68" s="174" t="str">
        <f>+'RVK SVÆDI'!C45</f>
        <v>Brynjureitur</v>
      </c>
      <c r="D68" s="175">
        <v>1</v>
      </c>
      <c r="E68" s="129" t="str">
        <f>+'RVK SVÆDI'!E45</f>
        <v>Miðborg</v>
      </c>
      <c r="F68" s="129" t="str">
        <f>+'RVK SVÆDI'!F45</f>
        <v>Austurbæjarskóli</v>
      </c>
      <c r="G68" s="176">
        <v>72</v>
      </c>
      <c r="H68" s="176">
        <v>72</v>
      </c>
      <c r="I68" s="176">
        <v>0</v>
      </c>
      <c r="J68" s="177">
        <f t="shared" si="15"/>
        <v>0</v>
      </c>
      <c r="K68" s="129"/>
      <c r="L68" s="178"/>
      <c r="M68" s="129"/>
      <c r="N68" s="178"/>
      <c r="O68" s="178"/>
      <c r="P68" s="129"/>
      <c r="Q68" s="179"/>
      <c r="R68" s="179"/>
      <c r="S68" s="179"/>
      <c r="T68" s="179"/>
      <c r="U68" s="179"/>
      <c r="V68" s="114"/>
      <c r="W68" s="114"/>
      <c r="X68" s="180"/>
      <c r="Y68" s="180"/>
      <c r="Z68" s="180"/>
      <c r="AA68" s="129"/>
    </row>
    <row r="69" spans="1:27" s="181" customFormat="1" ht="21" customHeight="1" x14ac:dyDescent="0.25">
      <c r="A69" s="412"/>
      <c r="B69" s="1"/>
      <c r="C69" s="174" t="str">
        <f>+'RVK SVÆDI'!C46</f>
        <v>Barónsreitur - Hverfisgata 85-93</v>
      </c>
      <c r="D69" s="175">
        <v>1</v>
      </c>
      <c r="E69" s="129" t="str">
        <f>+'RVK SVÆDI'!E46</f>
        <v>Miðborg</v>
      </c>
      <c r="F69" s="129" t="str">
        <f>+'RVK SVÆDI'!F46</f>
        <v>Austurbæjarskóli</v>
      </c>
      <c r="G69" s="176">
        <v>70</v>
      </c>
      <c r="H69" s="176">
        <v>70</v>
      </c>
      <c r="I69" s="176">
        <v>0</v>
      </c>
      <c r="J69" s="177">
        <f t="shared" si="15"/>
        <v>0</v>
      </c>
      <c r="K69" s="129"/>
      <c r="L69" s="178"/>
      <c r="M69" s="129"/>
      <c r="N69" s="178"/>
      <c r="O69" s="178"/>
      <c r="P69" s="129"/>
      <c r="Q69" s="179"/>
      <c r="R69" s="179"/>
      <c r="S69" s="179"/>
      <c r="T69" s="179"/>
      <c r="U69" s="179"/>
      <c r="V69" s="114"/>
      <c r="W69" s="114"/>
      <c r="X69" s="180"/>
      <c r="Y69" s="180"/>
      <c r="Z69" s="180"/>
      <c r="AA69" s="129"/>
    </row>
    <row r="70" spans="1:27" s="181" customFormat="1" ht="21" customHeight="1" x14ac:dyDescent="0.25">
      <c r="A70" s="412"/>
      <c r="B70" s="1"/>
      <c r="C70" s="174" t="str">
        <f>+'RVK SVÆDI'!C47</f>
        <v>Hverfisgata 94-96</v>
      </c>
      <c r="D70" s="175">
        <v>1</v>
      </c>
      <c r="E70" s="129" t="str">
        <f>+'RVK SVÆDI'!E47</f>
        <v>Miðborg</v>
      </c>
      <c r="F70" s="129" t="str">
        <f>+'RVK SVÆDI'!F47</f>
        <v>Austurbæjarskóli</v>
      </c>
      <c r="G70" s="176">
        <v>67</v>
      </c>
      <c r="H70" s="176">
        <v>0</v>
      </c>
      <c r="I70" s="176">
        <v>0</v>
      </c>
      <c r="J70" s="177">
        <v>0</v>
      </c>
      <c r="K70" s="129"/>
      <c r="L70" s="178"/>
      <c r="M70" s="129"/>
      <c r="N70" s="178"/>
      <c r="O70" s="178"/>
      <c r="P70" s="129"/>
      <c r="Q70" s="179"/>
      <c r="R70" s="179"/>
      <c r="S70" s="179"/>
      <c r="T70" s="179"/>
      <c r="U70" s="179"/>
      <c r="V70" s="114"/>
      <c r="W70" s="114"/>
      <c r="X70" s="180"/>
      <c r="Y70" s="180"/>
      <c r="Z70" s="180"/>
      <c r="AA70" s="129"/>
    </row>
    <row r="71" spans="1:27" s="7" customFormat="1" ht="21" customHeight="1" x14ac:dyDescent="0.25">
      <c r="A71" s="412"/>
      <c r="B71" s="1"/>
      <c r="C71" s="7" t="str">
        <f>+'RVK SVÆDI'!C48</f>
        <v>Barónsreitur-Hverfisgata 88-92</v>
      </c>
      <c r="D71" s="8">
        <v>1</v>
      </c>
      <c r="E71" s="6" t="str">
        <f>+'RVK SVÆDI'!E48</f>
        <v>Miðborg</v>
      </c>
      <c r="F71" s="6" t="str">
        <f>+'RVK SVÆDI'!F48</f>
        <v>Austurbæjarskóli</v>
      </c>
      <c r="G71" s="112">
        <v>38</v>
      </c>
      <c r="H71" s="112">
        <v>0</v>
      </c>
      <c r="I71" s="112">
        <f t="shared" si="35"/>
        <v>38</v>
      </c>
      <c r="J71" s="6">
        <f t="shared" si="15"/>
        <v>0</v>
      </c>
      <c r="K71" s="6"/>
      <c r="L71" s="112">
        <v>1.5</v>
      </c>
      <c r="M71" s="6">
        <f t="shared" ref="M71:M137" si="38">+L71*12</f>
        <v>18</v>
      </c>
      <c r="N71" s="112">
        <v>-47</v>
      </c>
      <c r="O71" s="112">
        <v>0</v>
      </c>
      <c r="P71" s="6">
        <f t="shared" ref="P71:P89" si="39">+N71+O71+24</f>
        <v>-23</v>
      </c>
      <c r="Q71" s="113">
        <f t="shared" ref="Q71:U75" si="40">IFERROR(IF(AND((Q$238-$P71)/$M71&gt;0,(Q$238-$P71)/$M71&lt;1),(Q$238-$P71)/$M71,IF((Q$238-$P71)/$M71&gt;0,1,0)),0)</f>
        <v>1</v>
      </c>
      <c r="R71" s="113">
        <f t="shared" si="40"/>
        <v>1</v>
      </c>
      <c r="S71" s="113">
        <f t="shared" si="40"/>
        <v>1</v>
      </c>
      <c r="T71" s="113">
        <f t="shared" si="40"/>
        <v>1</v>
      </c>
      <c r="U71" s="113">
        <f t="shared" si="40"/>
        <v>1</v>
      </c>
      <c r="V71" s="114"/>
      <c r="W71" s="377">
        <v>32</v>
      </c>
      <c r="X71" s="377">
        <f t="shared" si="2"/>
        <v>6</v>
      </c>
      <c r="Y71" s="114">
        <f t="shared" si="3"/>
        <v>0</v>
      </c>
      <c r="Z71" s="114">
        <f t="shared" si="4"/>
        <v>0</v>
      </c>
      <c r="AA71" s="6"/>
    </row>
    <row r="72" spans="1:27" s="7" customFormat="1" ht="21" customHeight="1" x14ac:dyDescent="0.25">
      <c r="A72" s="412"/>
      <c r="B72" s="1"/>
      <c r="C72" s="7" t="str">
        <f>+'RVK SVÆDI'!C49</f>
        <v>Hverfisgata 98-100a</v>
      </c>
      <c r="D72" s="8">
        <v>2</v>
      </c>
      <c r="E72" s="6" t="str">
        <f>+'RVK SVÆDI'!E49</f>
        <v>Miðborg</v>
      </c>
      <c r="F72" s="6" t="str">
        <f>+'RVK SVÆDI'!F49</f>
        <v>Austurbæjarskóli</v>
      </c>
      <c r="G72" s="375">
        <v>9</v>
      </c>
      <c r="H72" s="112">
        <v>0</v>
      </c>
      <c r="I72" s="112">
        <v>0</v>
      </c>
      <c r="J72" s="6">
        <f t="shared" ref="J72" si="41">+IF(D72=1,(G72-H72-I72),IF(D72=2,(G72-H72-I72),0))</f>
        <v>9</v>
      </c>
      <c r="K72" s="6"/>
      <c r="L72" s="112">
        <v>0.5</v>
      </c>
      <c r="M72" s="6">
        <f t="shared" si="38"/>
        <v>6</v>
      </c>
      <c r="N72" s="112">
        <v>16</v>
      </c>
      <c r="O72" s="112">
        <v>16</v>
      </c>
      <c r="P72" s="6">
        <f>+N72+O72+24</f>
        <v>56</v>
      </c>
      <c r="Q72" s="113">
        <f t="shared" si="40"/>
        <v>0</v>
      </c>
      <c r="R72" s="113">
        <f t="shared" si="40"/>
        <v>0</v>
      </c>
      <c r="S72" s="113">
        <f t="shared" si="40"/>
        <v>0</v>
      </c>
      <c r="T72" s="113">
        <f t="shared" si="40"/>
        <v>0</v>
      </c>
      <c r="U72" s="113">
        <f t="shared" si="40"/>
        <v>0</v>
      </c>
      <c r="V72" s="114"/>
      <c r="W72" s="114"/>
      <c r="X72" s="379">
        <f t="shared" ref="X72" si="42">S72*($G72-$H72)-SUM(V72:W72)</f>
        <v>0</v>
      </c>
      <c r="Y72" s="379">
        <f t="shared" ref="Y72" si="43">T72*($G72-$H72)-SUM(V72:X72)</f>
        <v>0</v>
      </c>
      <c r="Z72" s="379">
        <f t="shared" ref="Z72" si="44">U72*($G72-$H72)-SUM(V72:Y72)</f>
        <v>0</v>
      </c>
      <c r="AA72" s="6"/>
    </row>
    <row r="73" spans="1:27" s="7" customFormat="1" ht="21" customHeight="1" x14ac:dyDescent="0.25">
      <c r="A73" s="365"/>
      <c r="B73" s="1"/>
      <c r="C73" s="7" t="str">
        <f>+'RVK SVÆDI'!C50</f>
        <v>Barónsreitur-Skúlagata 26-Vitastígur 3</v>
      </c>
      <c r="D73" s="8">
        <v>1</v>
      </c>
      <c r="E73" s="6" t="str">
        <f>+'RVK SVÆDI'!E50</f>
        <v>Miðborg</v>
      </c>
      <c r="F73" s="6" t="str">
        <f>+'RVK SVÆDI'!F50</f>
        <v>Austurbæjarskóli</v>
      </c>
      <c r="G73" s="375">
        <v>29</v>
      </c>
      <c r="H73" s="112">
        <v>0</v>
      </c>
      <c r="I73" s="112">
        <f t="shared" si="35"/>
        <v>29</v>
      </c>
      <c r="J73" s="6">
        <f t="shared" si="15"/>
        <v>0</v>
      </c>
      <c r="K73" s="6"/>
      <c r="L73" s="112">
        <v>1</v>
      </c>
      <c r="M73" s="6">
        <f t="shared" si="38"/>
        <v>12</v>
      </c>
      <c r="N73" s="375">
        <v>18</v>
      </c>
      <c r="O73" s="112">
        <v>0</v>
      </c>
      <c r="P73" s="6">
        <f t="shared" si="39"/>
        <v>42</v>
      </c>
      <c r="Q73" s="113">
        <f t="shared" si="40"/>
        <v>0</v>
      </c>
      <c r="R73" s="113">
        <f t="shared" si="40"/>
        <v>0</v>
      </c>
      <c r="S73" s="113">
        <f t="shared" si="40"/>
        <v>0</v>
      </c>
      <c r="T73" s="113">
        <f t="shared" si="40"/>
        <v>0</v>
      </c>
      <c r="U73" s="113">
        <f t="shared" si="40"/>
        <v>1</v>
      </c>
      <c r="V73" s="114"/>
      <c r="W73" s="114"/>
      <c r="X73" s="379">
        <f t="shared" si="2"/>
        <v>0</v>
      </c>
      <c r="Y73" s="114">
        <f t="shared" si="3"/>
        <v>0</v>
      </c>
      <c r="Z73" s="379">
        <v>0</v>
      </c>
      <c r="AA73" s="6"/>
    </row>
    <row r="74" spans="1:27" s="7" customFormat="1" ht="21" customHeight="1" x14ac:dyDescent="0.25">
      <c r="A74" s="412"/>
      <c r="B74" s="1"/>
      <c r="C74" s="7" t="str">
        <f>+'RVK SVÆDI'!C51</f>
        <v>Frakkastígur 1</v>
      </c>
      <c r="D74" s="8">
        <v>2</v>
      </c>
      <c r="E74" s="6" t="str">
        <f>+'RVK SVÆDI'!E51</f>
        <v>Miðborg</v>
      </c>
      <c r="F74" s="6" t="str">
        <f>+'RVK SVÆDI'!F51</f>
        <v>Austurbæjarskóli</v>
      </c>
      <c r="G74" s="112">
        <v>20</v>
      </c>
      <c r="H74" s="112">
        <v>0</v>
      </c>
      <c r="I74" s="112">
        <v>0</v>
      </c>
      <c r="J74" s="6">
        <f t="shared" si="15"/>
        <v>20</v>
      </c>
      <c r="K74" s="6"/>
      <c r="L74" s="112">
        <v>1</v>
      </c>
      <c r="M74" s="6">
        <f t="shared" si="38"/>
        <v>12</v>
      </c>
      <c r="N74" s="375">
        <v>6</v>
      </c>
      <c r="O74" s="112">
        <v>12</v>
      </c>
      <c r="P74" s="6">
        <f t="shared" si="39"/>
        <v>42</v>
      </c>
      <c r="Q74" s="113">
        <f t="shared" si="40"/>
        <v>0</v>
      </c>
      <c r="R74" s="113">
        <f t="shared" si="40"/>
        <v>0</v>
      </c>
      <c r="S74" s="113">
        <f t="shared" si="40"/>
        <v>0</v>
      </c>
      <c r="T74" s="113">
        <f t="shared" si="40"/>
        <v>0</v>
      </c>
      <c r="U74" s="113">
        <f t="shared" si="40"/>
        <v>1</v>
      </c>
      <c r="V74" s="114"/>
      <c r="W74" s="114"/>
      <c r="X74" s="114">
        <f t="shared" si="2"/>
        <v>0</v>
      </c>
      <c r="Y74" s="114">
        <f t="shared" si="3"/>
        <v>0</v>
      </c>
      <c r="Z74" s="379">
        <v>0</v>
      </c>
      <c r="AA74" s="6"/>
    </row>
    <row r="75" spans="1:27" s="7" customFormat="1" ht="21" customHeight="1" x14ac:dyDescent="0.25">
      <c r="A75" s="412"/>
      <c r="B75" s="1"/>
      <c r="C75" s="7" t="str">
        <f>+'RVK SVÆDI'!C52</f>
        <v>Vatnsstígsreitur</v>
      </c>
      <c r="D75" s="8">
        <v>1</v>
      </c>
      <c r="E75" s="6" t="str">
        <f>+'RVK SVÆDI'!E52</f>
        <v>Miðborg</v>
      </c>
      <c r="F75" s="6" t="str">
        <f>+'RVK SVÆDI'!F52</f>
        <v>Austurbæjarskóli</v>
      </c>
      <c r="G75" s="375">
        <f>43+21</f>
        <v>64</v>
      </c>
      <c r="H75" s="112">
        <v>0</v>
      </c>
      <c r="I75" s="375">
        <v>64</v>
      </c>
      <c r="J75" s="6">
        <f t="shared" si="15"/>
        <v>0</v>
      </c>
      <c r="K75" s="6"/>
      <c r="L75" s="112">
        <v>0.5</v>
      </c>
      <c r="M75" s="6">
        <f t="shared" si="38"/>
        <v>6</v>
      </c>
      <c r="N75" s="375">
        <v>2.5</v>
      </c>
      <c r="O75" s="112">
        <v>14</v>
      </c>
      <c r="P75" s="6">
        <f t="shared" si="39"/>
        <v>40.5</v>
      </c>
      <c r="Q75" s="113">
        <f t="shared" si="40"/>
        <v>0</v>
      </c>
      <c r="R75" s="113">
        <f t="shared" si="40"/>
        <v>0</v>
      </c>
      <c r="S75" s="113">
        <f t="shared" si="40"/>
        <v>0</v>
      </c>
      <c r="T75" s="113">
        <f t="shared" si="40"/>
        <v>0.25</v>
      </c>
      <c r="U75" s="113">
        <f t="shared" si="40"/>
        <v>1</v>
      </c>
      <c r="V75" s="114"/>
      <c r="W75" s="114"/>
      <c r="X75" s="114">
        <f t="shared" si="2"/>
        <v>0</v>
      </c>
      <c r="Y75" s="377">
        <f t="shared" si="3"/>
        <v>16</v>
      </c>
      <c r="Z75" s="377">
        <f t="shared" si="4"/>
        <v>48</v>
      </c>
      <c r="AA75" s="6"/>
    </row>
    <row r="76" spans="1:27" s="181" customFormat="1" ht="21" customHeight="1" x14ac:dyDescent="0.25">
      <c r="A76" s="412"/>
      <c r="B76" s="1"/>
      <c r="C76" s="174" t="str">
        <f>+'RVK SVÆDI'!C53</f>
        <v>Grettisgata fjölskyldumiðstöð</v>
      </c>
      <c r="D76" s="175">
        <v>2</v>
      </c>
      <c r="E76" s="129" t="str">
        <f>+'RVK SVÆDI'!E53</f>
        <v>Miðborg</v>
      </c>
      <c r="F76" s="129" t="str">
        <f>+'RVK SVÆDI'!F53</f>
        <v>Austurbæjarskóli</v>
      </c>
      <c r="G76" s="176"/>
      <c r="H76" s="176"/>
      <c r="I76" s="176"/>
      <c r="J76" s="177"/>
      <c r="K76" s="129"/>
      <c r="L76" s="178"/>
      <c r="M76" s="129"/>
      <c r="N76" s="178"/>
      <c r="O76" s="178"/>
      <c r="P76" s="129"/>
      <c r="Q76" s="179"/>
      <c r="R76" s="179"/>
      <c r="S76" s="179"/>
      <c r="T76" s="179"/>
      <c r="U76" s="179"/>
      <c r="V76" s="180"/>
      <c r="W76" s="180"/>
      <c r="X76" s="180"/>
      <c r="Y76" s="180"/>
      <c r="Z76" s="180"/>
      <c r="AA76" s="129"/>
    </row>
    <row r="77" spans="1:27" s="7" customFormat="1" ht="21" customHeight="1" x14ac:dyDescent="0.25">
      <c r="A77" s="412"/>
      <c r="B77" s="1"/>
      <c r="C77" s="7" t="str">
        <f>+'RVK SVÆDI'!C54</f>
        <v>Snorrabraut 58-60</v>
      </c>
      <c r="D77" s="374">
        <v>1</v>
      </c>
      <c r="E77" s="6" t="str">
        <f>+'RVK SVÆDI'!E54</f>
        <v>Miðborg</v>
      </c>
      <c r="F77" s="6" t="str">
        <f>+'RVK SVÆDI'!F54</f>
        <v>Austurbæjarskóli</v>
      </c>
      <c r="G77" s="375">
        <v>35</v>
      </c>
      <c r="H77" s="112">
        <v>0</v>
      </c>
      <c r="I77" s="375">
        <v>35</v>
      </c>
      <c r="J77" s="6">
        <f t="shared" si="15"/>
        <v>0</v>
      </c>
      <c r="K77" s="6"/>
      <c r="L77" s="112">
        <v>0.5</v>
      </c>
      <c r="M77" s="6">
        <f t="shared" si="38"/>
        <v>6</v>
      </c>
      <c r="N77" s="112">
        <v>0</v>
      </c>
      <c r="O77" s="112">
        <v>6</v>
      </c>
      <c r="P77" s="6">
        <f t="shared" si="39"/>
        <v>30</v>
      </c>
      <c r="Q77" s="113">
        <f t="shared" ref="Q77:U80" si="45">IFERROR(IF(AND((Q$238-$P77)/$M77&gt;0,(Q$238-$P77)/$M77&lt;1),(Q$238-$P77)/$M77,IF((Q$238-$P77)/$M77&gt;0,1,0)),0)</f>
        <v>0</v>
      </c>
      <c r="R77" s="113">
        <f t="shared" si="45"/>
        <v>0</v>
      </c>
      <c r="S77" s="113">
        <f t="shared" si="45"/>
        <v>0</v>
      </c>
      <c r="T77" s="113">
        <f t="shared" si="45"/>
        <v>1</v>
      </c>
      <c r="U77" s="113">
        <f t="shared" si="45"/>
        <v>1</v>
      </c>
      <c r="V77" s="114"/>
      <c r="W77" s="114"/>
      <c r="X77" s="114">
        <f t="shared" si="2"/>
        <v>0</v>
      </c>
      <c r="Y77" s="114">
        <f t="shared" si="3"/>
        <v>35</v>
      </c>
      <c r="Z77" s="114">
        <f t="shared" si="4"/>
        <v>0</v>
      </c>
      <c r="AA77" s="6"/>
    </row>
    <row r="78" spans="1:27" s="7" customFormat="1" ht="21" customHeight="1" x14ac:dyDescent="0.25">
      <c r="A78" s="412"/>
      <c r="B78" s="1"/>
      <c r="C78" s="365" t="str">
        <f>+'RVK SVÆDI'!C55</f>
        <v>Egilsgata-Snorrabraut (Egilsgata 5)</v>
      </c>
      <c r="D78" s="8">
        <v>4</v>
      </c>
      <c r="E78" s="6" t="str">
        <f>+'RVK SVÆDI'!E55</f>
        <v>Miðborg</v>
      </c>
      <c r="F78" s="6" t="str">
        <f>+'RVK SVÆDI'!F55</f>
        <v>Austurbæjarskóli</v>
      </c>
      <c r="G78" s="183">
        <v>100</v>
      </c>
      <c r="H78" s="112">
        <v>0</v>
      </c>
      <c r="I78" s="112">
        <v>0</v>
      </c>
      <c r="J78" s="6">
        <f t="shared" si="15"/>
        <v>0</v>
      </c>
      <c r="K78" s="6"/>
      <c r="L78" s="112">
        <v>1.5</v>
      </c>
      <c r="M78" s="6">
        <f t="shared" si="38"/>
        <v>18</v>
      </c>
      <c r="N78" s="112">
        <v>48</v>
      </c>
      <c r="O78" s="112">
        <v>14</v>
      </c>
      <c r="P78" s="6">
        <f t="shared" si="39"/>
        <v>86</v>
      </c>
      <c r="Q78" s="113">
        <f t="shared" si="45"/>
        <v>0</v>
      </c>
      <c r="R78" s="113">
        <f t="shared" si="45"/>
        <v>0</v>
      </c>
      <c r="S78" s="113">
        <f t="shared" si="45"/>
        <v>0</v>
      </c>
      <c r="T78" s="113">
        <f t="shared" si="45"/>
        <v>0</v>
      </c>
      <c r="U78" s="113">
        <f t="shared" si="45"/>
        <v>0</v>
      </c>
      <c r="V78" s="114"/>
      <c r="W78" s="114"/>
      <c r="X78" s="114">
        <f t="shared" si="2"/>
        <v>0</v>
      </c>
      <c r="Y78" s="114">
        <f t="shared" si="3"/>
        <v>0</v>
      </c>
      <c r="Z78" s="114">
        <f t="shared" si="4"/>
        <v>0</v>
      </c>
      <c r="AA78" s="6"/>
    </row>
    <row r="79" spans="1:27" s="7" customFormat="1" ht="21" customHeight="1" x14ac:dyDescent="0.25">
      <c r="A79" s="412"/>
      <c r="B79" s="1"/>
      <c r="C79" s="365" t="str">
        <f>+'RVK SVÆDI'!C56</f>
        <v>Snorrabraut 54 (áður hótel)</v>
      </c>
      <c r="D79" s="8">
        <v>2</v>
      </c>
      <c r="E79" s="6" t="str">
        <f>+'RVK SVÆDI'!E56</f>
        <v>Miðborg</v>
      </c>
      <c r="F79" s="6" t="str">
        <f>+'RVK SVÆDI'!F56</f>
        <v>Austurbæjarskóli</v>
      </c>
      <c r="G79" s="375">
        <v>40</v>
      </c>
      <c r="H79" s="112">
        <v>0</v>
      </c>
      <c r="I79" s="112">
        <v>0</v>
      </c>
      <c r="J79" s="6">
        <f t="shared" ref="J79" si="46">+IF(D79=1,(G79-H79-I79),IF(D79=2,(G79-H79-I79),0))</f>
        <v>40</v>
      </c>
      <c r="K79" s="6"/>
      <c r="L79" s="112">
        <v>0.5</v>
      </c>
      <c r="M79" s="6">
        <f t="shared" ref="M79" si="47">+L79*12</f>
        <v>6</v>
      </c>
      <c r="N79" s="112">
        <v>18</v>
      </c>
      <c r="O79" s="112">
        <v>14</v>
      </c>
      <c r="P79" s="6">
        <f t="shared" ref="P79" si="48">+N79+O79+24</f>
        <v>56</v>
      </c>
      <c r="Q79" s="113">
        <f t="shared" si="45"/>
        <v>0</v>
      </c>
      <c r="R79" s="113">
        <f t="shared" si="45"/>
        <v>0</v>
      </c>
      <c r="S79" s="113">
        <f t="shared" si="45"/>
        <v>0</v>
      </c>
      <c r="T79" s="113">
        <f t="shared" si="45"/>
        <v>0</v>
      </c>
      <c r="U79" s="113">
        <f t="shared" si="45"/>
        <v>0</v>
      </c>
      <c r="V79" s="114"/>
      <c r="W79" s="114"/>
      <c r="X79" s="114">
        <f t="shared" ref="X79" si="49">S79*($G79-$H79)-SUM(V79:W79)</f>
        <v>0</v>
      </c>
      <c r="Y79" s="114">
        <f t="shared" ref="Y79" si="50">T79*($G79-$H79)-SUM(V79:X79)</f>
        <v>0</v>
      </c>
      <c r="Z79" s="114">
        <f t="shared" ref="Z79" si="51">U79*($G79-$H79)-SUM(V79:Y79)</f>
        <v>0</v>
      </c>
      <c r="AA79" s="6"/>
    </row>
    <row r="80" spans="1:27" s="7" customFormat="1" ht="21" customHeight="1" x14ac:dyDescent="0.25">
      <c r="A80" s="412"/>
      <c r="B80" s="1"/>
      <c r="C80" s="365" t="str">
        <f>+'RVK SVÆDI'!C57</f>
        <v>BSÍ-reitur</v>
      </c>
      <c r="D80" s="8">
        <v>4</v>
      </c>
      <c r="E80" s="6" t="str">
        <f>+'RVK SVÆDI'!E57</f>
        <v>Miðborg</v>
      </c>
      <c r="F80" s="6" t="str">
        <f>+'RVK SVÆDI'!F57</f>
        <v>Austurbæjarskóli</v>
      </c>
      <c r="G80" s="112">
        <v>100</v>
      </c>
      <c r="H80" s="112">
        <v>0</v>
      </c>
      <c r="I80" s="112">
        <v>0</v>
      </c>
      <c r="J80" s="6">
        <f t="shared" si="15"/>
        <v>0</v>
      </c>
      <c r="K80" s="6"/>
      <c r="L80" s="112">
        <v>2</v>
      </c>
      <c r="M80" s="6">
        <f t="shared" si="38"/>
        <v>24</v>
      </c>
      <c r="N80" s="112">
        <v>60</v>
      </c>
      <c r="O80" s="112">
        <v>16</v>
      </c>
      <c r="P80" s="6">
        <f t="shared" si="39"/>
        <v>100</v>
      </c>
      <c r="Q80" s="113">
        <f t="shared" si="45"/>
        <v>0</v>
      </c>
      <c r="R80" s="113">
        <f t="shared" si="45"/>
        <v>0</v>
      </c>
      <c r="S80" s="113">
        <f t="shared" si="45"/>
        <v>0</v>
      </c>
      <c r="T80" s="113">
        <f t="shared" si="45"/>
        <v>0</v>
      </c>
      <c r="U80" s="113">
        <f t="shared" si="45"/>
        <v>0</v>
      </c>
      <c r="V80" s="114"/>
      <c r="W80" s="114"/>
      <c r="X80" s="114">
        <f t="shared" si="2"/>
        <v>0</v>
      </c>
      <c r="Y80" s="114">
        <f t="shared" si="3"/>
        <v>0</v>
      </c>
      <c r="Z80" s="114">
        <f t="shared" si="4"/>
        <v>0</v>
      </c>
      <c r="AA80" s="6"/>
    </row>
    <row r="81" spans="1:27" s="181" customFormat="1" ht="21" customHeight="1" x14ac:dyDescent="0.25">
      <c r="A81" s="412"/>
      <c r="B81" s="1"/>
      <c r="C81" s="174" t="str">
        <f>+'RVK SVÆDI'!C58</f>
        <v>Nýr landspítali meðferðarkjarni (tekin í notkun 2025)</v>
      </c>
      <c r="D81" s="175">
        <v>1</v>
      </c>
      <c r="E81" s="129" t="str">
        <f>+'RVK SVÆDI'!E58</f>
        <v>Miðborg</v>
      </c>
      <c r="F81" s="129" t="str">
        <f>+'RVK SVÆDI'!F58</f>
        <v>Austurbæjarskóli</v>
      </c>
      <c r="G81" s="176"/>
      <c r="H81" s="176"/>
      <c r="I81" s="176"/>
      <c r="J81" s="177"/>
      <c r="K81" s="129"/>
      <c r="L81" s="178"/>
      <c r="M81" s="129"/>
      <c r="N81" s="178"/>
      <c r="O81" s="178"/>
      <c r="P81" s="129"/>
      <c r="Q81" s="179"/>
      <c r="R81" s="179"/>
      <c r="S81" s="179"/>
      <c r="T81" s="179"/>
      <c r="U81" s="179"/>
      <c r="V81" s="180"/>
      <c r="W81" s="180"/>
      <c r="X81" s="180"/>
      <c r="Y81" s="180"/>
      <c r="Z81" s="180"/>
      <c r="AA81" s="129"/>
    </row>
    <row r="82" spans="1:27" s="181" customFormat="1" ht="21" customHeight="1" x14ac:dyDescent="0.25">
      <c r="A82" s="412"/>
      <c r="B82" s="1"/>
      <c r="C82" s="174" t="str">
        <f>+'RVK SVÆDI'!C59</f>
        <v>Nýr landspítali afgangur af 1. áfanga</v>
      </c>
      <c r="D82" s="175">
        <v>1</v>
      </c>
      <c r="E82" s="129" t="str">
        <f>+'RVK SVÆDI'!E59</f>
        <v>Miðborg</v>
      </c>
      <c r="F82" s="129" t="str">
        <f>+'RVK SVÆDI'!F59</f>
        <v>Austurbæjarskóli</v>
      </c>
      <c r="G82" s="176"/>
      <c r="H82" s="176"/>
      <c r="I82" s="176"/>
      <c r="J82" s="177"/>
      <c r="K82" s="129"/>
      <c r="L82" s="178"/>
      <c r="M82" s="129"/>
      <c r="N82" s="178"/>
      <c r="O82" s="178"/>
      <c r="P82" s="129"/>
      <c r="Q82" s="179"/>
      <c r="R82" s="179"/>
      <c r="S82" s="179"/>
      <c r="T82" s="179"/>
      <c r="U82" s="179"/>
      <c r="V82" s="180"/>
      <c r="W82" s="180"/>
      <c r="X82" s="180"/>
      <c r="Y82" s="180"/>
      <c r="Z82" s="180"/>
      <c r="AA82" s="129"/>
    </row>
    <row r="83" spans="1:27" s="181" customFormat="1" ht="21" customHeight="1" x14ac:dyDescent="0.25">
      <c r="A83" s="412"/>
      <c r="B83" s="1"/>
      <c r="C83" s="174" t="str">
        <f>+'RVK SVÆDI'!C60</f>
        <v>Nýr landspítali 2. áfangi</v>
      </c>
      <c r="D83" s="175">
        <v>2</v>
      </c>
      <c r="E83" s="129" t="str">
        <f>+'RVK SVÆDI'!E60</f>
        <v>Miðborg</v>
      </c>
      <c r="F83" s="129" t="str">
        <f>+'RVK SVÆDI'!F60</f>
        <v>Austurbæjarskóli</v>
      </c>
      <c r="G83" s="176"/>
      <c r="H83" s="176"/>
      <c r="I83" s="176"/>
      <c r="J83" s="177"/>
      <c r="K83" s="129"/>
      <c r="L83" s="178"/>
      <c r="M83" s="129"/>
      <c r="N83" s="178"/>
      <c r="O83" s="178"/>
      <c r="P83" s="129"/>
      <c r="Q83" s="179"/>
      <c r="R83" s="179"/>
      <c r="S83" s="179"/>
      <c r="T83" s="179"/>
      <c r="U83" s="179"/>
      <c r="V83" s="180"/>
      <c r="W83" s="180"/>
      <c r="X83" s="180"/>
      <c r="Y83" s="180"/>
      <c r="Z83" s="180"/>
      <c r="AA83" s="129"/>
    </row>
    <row r="84" spans="1:27" s="181" customFormat="1" ht="21" customHeight="1" x14ac:dyDescent="0.25">
      <c r="A84" s="412"/>
      <c r="B84" s="1"/>
      <c r="C84" s="174" t="str">
        <f>+'RVK SVÆDI'!C61</f>
        <v>Nýr landspítali - randbyggð Vísindagarða</v>
      </c>
      <c r="D84" s="175">
        <v>2</v>
      </c>
      <c r="E84" s="129" t="str">
        <f>+'RVK SVÆDI'!E61</f>
        <v>Miðborg</v>
      </c>
      <c r="F84" s="129" t="str">
        <f>+'RVK SVÆDI'!F61</f>
        <v>Austurbæjarskóli</v>
      </c>
      <c r="G84" s="176"/>
      <c r="H84" s="176"/>
      <c r="I84" s="176"/>
      <c r="J84" s="177"/>
      <c r="K84" s="129"/>
      <c r="L84" s="178"/>
      <c r="M84" s="129"/>
      <c r="N84" s="178"/>
      <c r="O84" s="178"/>
      <c r="P84" s="129"/>
      <c r="Q84" s="179"/>
      <c r="R84" s="179"/>
      <c r="S84" s="179"/>
      <c r="T84" s="179"/>
      <c r="U84" s="179"/>
      <c r="V84" s="180"/>
      <c r="W84" s="180"/>
      <c r="X84" s="180"/>
      <c r="Y84" s="180"/>
      <c r="Z84" s="180"/>
      <c r="AA84" s="129"/>
    </row>
    <row r="85" spans="1:27" s="181" customFormat="1" ht="21" customHeight="1" x14ac:dyDescent="0.25">
      <c r="A85" s="412"/>
      <c r="B85" s="1"/>
      <c r="C85" s="174" t="str">
        <f>+'RVK SVÆDI'!C62</f>
        <v>Lækjargata hótelreitur</v>
      </c>
      <c r="D85" s="175">
        <v>1</v>
      </c>
      <c r="E85" s="129" t="str">
        <f>+'RVK SVÆDI'!E62</f>
        <v>Miðborg</v>
      </c>
      <c r="F85" s="129" t="str">
        <f>+'RVK SVÆDI'!F62</f>
        <v>Austurbæjarskóli</v>
      </c>
      <c r="G85" s="176"/>
      <c r="H85" s="176"/>
      <c r="I85" s="176"/>
      <c r="J85" s="177"/>
      <c r="K85" s="129"/>
      <c r="L85" s="178"/>
      <c r="M85" s="129"/>
      <c r="N85" s="178"/>
      <c r="O85" s="178"/>
      <c r="P85" s="129"/>
      <c r="Q85" s="179"/>
      <c r="R85" s="179"/>
      <c r="S85" s="179"/>
      <c r="T85" s="179"/>
      <c r="U85" s="179"/>
      <c r="V85" s="180"/>
      <c r="W85" s="180"/>
      <c r="X85" s="180"/>
      <c r="Y85" s="180"/>
      <c r="Z85" s="180"/>
      <c r="AA85" s="129"/>
    </row>
    <row r="86" spans="1:27" s="181" customFormat="1" ht="21" customHeight="1" x14ac:dyDescent="0.25">
      <c r="A86" s="412"/>
      <c r="B86" s="1"/>
      <c r="C86" s="174" t="str">
        <f>+'RVK SVÆDI'!C63</f>
        <v>Austurvöllur hótelreitur</v>
      </c>
      <c r="D86" s="175">
        <v>1</v>
      </c>
      <c r="E86" s="129" t="str">
        <f>+'RVK SVÆDI'!E63</f>
        <v>Miðborg</v>
      </c>
      <c r="F86" s="129" t="str">
        <f>+'RVK SVÆDI'!F63</f>
        <v>Austurbæjarskóli</v>
      </c>
      <c r="G86" s="176"/>
      <c r="H86" s="176"/>
      <c r="I86" s="176"/>
      <c r="J86" s="177"/>
      <c r="K86" s="129"/>
      <c r="L86" s="178"/>
      <c r="M86" s="129"/>
      <c r="N86" s="178"/>
      <c r="O86" s="178"/>
      <c r="P86" s="129"/>
      <c r="Q86" s="179"/>
      <c r="R86" s="179"/>
      <c r="S86" s="179"/>
      <c r="T86" s="179"/>
      <c r="U86" s="179"/>
      <c r="V86" s="180"/>
      <c r="W86" s="180"/>
      <c r="X86" s="180"/>
      <c r="Y86" s="180"/>
      <c r="Z86" s="180"/>
      <c r="AA86" s="129"/>
    </row>
    <row r="87" spans="1:27" s="181" customFormat="1" ht="21" customHeight="1" x14ac:dyDescent="0.25">
      <c r="A87" s="412"/>
      <c r="B87" s="1"/>
      <c r="C87" s="174" t="str">
        <f>+'RVK SVÆDI'!C64</f>
        <v>Bríetartún hótel</v>
      </c>
      <c r="D87" s="175">
        <v>2</v>
      </c>
      <c r="E87" s="129" t="str">
        <f>+'RVK SVÆDI'!E64</f>
        <v>Miðborg</v>
      </c>
      <c r="F87" s="129" t="str">
        <f>+'RVK SVÆDI'!F64</f>
        <v>Austurbæjarskóli</v>
      </c>
      <c r="G87" s="176"/>
      <c r="H87" s="176"/>
      <c r="I87" s="176"/>
      <c r="J87" s="177"/>
      <c r="K87" s="129"/>
      <c r="L87" s="178"/>
      <c r="M87" s="129"/>
      <c r="N87" s="178"/>
      <c r="O87" s="178"/>
      <c r="P87" s="129"/>
      <c r="Q87" s="179"/>
      <c r="R87" s="179"/>
      <c r="S87" s="179"/>
      <c r="T87" s="179"/>
      <c r="U87" s="179"/>
      <c r="V87" s="180"/>
      <c r="W87" s="180"/>
      <c r="X87" s="180"/>
      <c r="Y87" s="180"/>
      <c r="Z87" s="180"/>
      <c r="AA87" s="129"/>
    </row>
    <row r="88" spans="1:27" s="7" customFormat="1" ht="21" customHeight="1" x14ac:dyDescent="0.25">
      <c r="A88" s="412"/>
      <c r="B88" s="1"/>
      <c r="C88" s="365" t="str">
        <f>+'RVK SVÆDI'!C65</f>
        <v>Miðborg - margir reitir (830 íb mínus BSÍ, Miðbakki o.fl.)</v>
      </c>
      <c r="D88" s="8">
        <v>5</v>
      </c>
      <c r="E88" s="6" t="str">
        <f>+'RVK SVÆDI'!E65</f>
        <v>Miðborg</v>
      </c>
      <c r="F88" s="6" t="str">
        <f>+'RVK SVÆDI'!F65</f>
        <v>Austurbæjarskóli</v>
      </c>
      <c r="G88" s="112">
        <v>330</v>
      </c>
      <c r="H88" s="112">
        <v>0</v>
      </c>
      <c r="I88" s="112">
        <v>0</v>
      </c>
      <c r="J88" s="6">
        <f t="shared" ref="J88" si="52">+IF(D88=1,(G88-H88-I88),IF(D88=2,(G88-H88-I88),0))</f>
        <v>0</v>
      </c>
      <c r="K88" s="6"/>
      <c r="L88" s="112">
        <v>40</v>
      </c>
      <c r="M88" s="6">
        <f t="shared" ref="M88" si="53">+L88*12</f>
        <v>480</v>
      </c>
      <c r="N88" s="112">
        <v>-24</v>
      </c>
      <c r="O88" s="112">
        <v>16</v>
      </c>
      <c r="P88" s="6">
        <f>+N88+O88+18</f>
        <v>10</v>
      </c>
      <c r="Q88" s="113">
        <f t="shared" ref="Q88:U91" si="54">IFERROR(IF(AND((Q$238-$P88)/$M88&gt;0,(Q$238-$P88)/$M88&lt;1),(Q$238-$P88)/$M88,IF((Q$238-$P88)/$M88&gt;0,1,0)),0)</f>
        <v>0</v>
      </c>
      <c r="R88" s="113">
        <f t="shared" si="54"/>
        <v>1.6666666666666666E-2</v>
      </c>
      <c r="S88" s="113">
        <f t="shared" si="54"/>
        <v>4.1666666666666664E-2</v>
      </c>
      <c r="T88" s="113">
        <f t="shared" si="54"/>
        <v>6.6666666666666666E-2</v>
      </c>
      <c r="U88" s="113">
        <f t="shared" si="54"/>
        <v>9.166666666666666E-2</v>
      </c>
      <c r="V88" s="114"/>
      <c r="W88" s="114"/>
      <c r="X88" s="114">
        <f t="shared" ref="X88" si="55">S88*($G88-$H88)-SUM(V88:W88)</f>
        <v>13.75</v>
      </c>
      <c r="Y88" s="114">
        <f t="shared" ref="Y88" si="56">T88*($G88-$H88)-SUM(V88:X88)</f>
        <v>8.25</v>
      </c>
      <c r="Z88" s="114">
        <f t="shared" ref="Z88" si="57">U88*($G88-$H88)-SUM(V88:Y88)</f>
        <v>8.2499999999999964</v>
      </c>
      <c r="AA88" s="6"/>
    </row>
    <row r="89" spans="1:27" s="7" customFormat="1" ht="21" customHeight="1" x14ac:dyDescent="0.25">
      <c r="A89" s="412"/>
      <c r="B89" s="1"/>
      <c r="C89" s="7" t="str">
        <f>+'RVK SVÆDI'!C66</f>
        <v xml:space="preserve">Laugavegur-Holt I </v>
      </c>
      <c r="D89" s="8">
        <v>4</v>
      </c>
      <c r="E89" s="6" t="str">
        <f>+'RVK SVÆDI'!E66</f>
        <v>Hlíðar</v>
      </c>
      <c r="F89" s="6" t="str">
        <f>+'RVK SVÆDI'!F66</f>
        <v>Háteigsskóli</v>
      </c>
      <c r="G89" s="375">
        <f>200-G92-G93</f>
        <v>82</v>
      </c>
      <c r="H89" s="112">
        <v>0</v>
      </c>
      <c r="I89" s="112">
        <v>0</v>
      </c>
      <c r="J89" s="6">
        <f t="shared" si="15"/>
        <v>0</v>
      </c>
      <c r="K89" s="6"/>
      <c r="L89" s="112">
        <v>10</v>
      </c>
      <c r="M89" s="6">
        <f t="shared" si="38"/>
        <v>120</v>
      </c>
      <c r="N89" s="112">
        <v>60</v>
      </c>
      <c r="O89" s="112">
        <v>16</v>
      </c>
      <c r="P89" s="6">
        <f t="shared" si="39"/>
        <v>100</v>
      </c>
      <c r="Q89" s="113">
        <f t="shared" si="54"/>
        <v>0</v>
      </c>
      <c r="R89" s="113">
        <f t="shared" si="54"/>
        <v>0</v>
      </c>
      <c r="S89" s="113">
        <f t="shared" si="54"/>
        <v>0</v>
      </c>
      <c r="T89" s="113">
        <f t="shared" si="54"/>
        <v>0</v>
      </c>
      <c r="U89" s="113">
        <f t="shared" si="54"/>
        <v>0</v>
      </c>
      <c r="V89" s="114"/>
      <c r="W89" s="114"/>
      <c r="X89" s="114">
        <f t="shared" si="2"/>
        <v>0</v>
      </c>
      <c r="Y89" s="114">
        <f t="shared" si="3"/>
        <v>0</v>
      </c>
      <c r="Z89" s="114">
        <f t="shared" si="4"/>
        <v>0</v>
      </c>
      <c r="AA89" s="6"/>
    </row>
    <row r="90" spans="1:27" s="7" customFormat="1" ht="21" customHeight="1" x14ac:dyDescent="0.25">
      <c r="A90" s="365"/>
      <c r="B90" s="1"/>
      <c r="C90" s="7" t="str">
        <f>+'RVK SVÆDI'!C67</f>
        <v>Laugavegur 105</v>
      </c>
      <c r="D90" s="374">
        <v>2</v>
      </c>
      <c r="E90" s="6" t="str">
        <f>+'RVK SVÆDI'!E67</f>
        <v>Hlíðar</v>
      </c>
      <c r="F90" s="6" t="str">
        <f>+'RVK SVÆDI'!F67</f>
        <v>Háteigsskóli</v>
      </c>
      <c r="G90" s="375">
        <v>36</v>
      </c>
      <c r="H90" s="112">
        <v>0</v>
      </c>
      <c r="I90" s="112">
        <v>36</v>
      </c>
      <c r="J90" s="6">
        <f t="shared" ref="J90:J91" si="58">+IF(D90=1,(G90-H90-I90),IF(D90=2,(G90-H90-I90),0))</f>
        <v>0</v>
      </c>
      <c r="K90" s="6"/>
      <c r="L90" s="112">
        <v>0.5</v>
      </c>
      <c r="M90" s="6">
        <f t="shared" ref="M90:M91" si="59">+L90*12</f>
        <v>6</v>
      </c>
      <c r="N90" s="112">
        <v>0</v>
      </c>
      <c r="O90" s="112">
        <v>6</v>
      </c>
      <c r="P90" s="6">
        <f t="shared" ref="P90" si="60">+N90+O90+24</f>
        <v>30</v>
      </c>
      <c r="Q90" s="113">
        <f t="shared" si="54"/>
        <v>0</v>
      </c>
      <c r="R90" s="113">
        <f t="shared" si="54"/>
        <v>0</v>
      </c>
      <c r="S90" s="113">
        <f t="shared" si="54"/>
        <v>0</v>
      </c>
      <c r="T90" s="113">
        <f t="shared" si="54"/>
        <v>1</v>
      </c>
      <c r="U90" s="113">
        <f t="shared" si="54"/>
        <v>1</v>
      </c>
      <c r="V90" s="114"/>
      <c r="W90" s="114"/>
      <c r="X90" s="114">
        <f>S90*($G90-$H90)-SUM(V90:W90)</f>
        <v>0</v>
      </c>
      <c r="Y90" s="377">
        <f t="shared" ref="Y90:Y91" si="61">T90*($G90-$H90)-SUM(V90:X90)</f>
        <v>36</v>
      </c>
      <c r="Z90" s="114">
        <f t="shared" ref="Z90:Z91" si="62">U90*($G90-$H90)-SUM(V90:Y90)</f>
        <v>0</v>
      </c>
      <c r="AA90" s="6"/>
    </row>
    <row r="91" spans="1:27" s="7" customFormat="1" ht="21" customHeight="1" x14ac:dyDescent="0.25">
      <c r="A91" s="365"/>
      <c r="B91" s="1"/>
      <c r="C91" s="7" t="str">
        <f>+'RVK SVÆDI'!C68</f>
        <v>Laugavegur 157-159</v>
      </c>
      <c r="D91" s="374">
        <v>3</v>
      </c>
      <c r="E91" s="6" t="str">
        <f>+'RVK SVÆDI'!E68</f>
        <v>Hlíðar</v>
      </c>
      <c r="F91" s="6" t="str">
        <f>+'RVK SVÆDI'!F68</f>
        <v>Háteigsskóli</v>
      </c>
      <c r="G91" s="375">
        <v>12</v>
      </c>
      <c r="H91" s="112">
        <v>0</v>
      </c>
      <c r="I91" s="112">
        <v>0</v>
      </c>
      <c r="J91" s="6">
        <f t="shared" si="58"/>
        <v>0</v>
      </c>
      <c r="K91" s="6"/>
      <c r="L91" s="112">
        <v>0.5</v>
      </c>
      <c r="M91" s="6">
        <f t="shared" si="59"/>
        <v>6</v>
      </c>
      <c r="N91" s="112">
        <v>48</v>
      </c>
      <c r="O91" s="112">
        <v>16</v>
      </c>
      <c r="P91" s="6">
        <f t="shared" ref="P91" si="63">+N91+O91+24</f>
        <v>88</v>
      </c>
      <c r="Q91" s="113">
        <f t="shared" si="54"/>
        <v>0</v>
      </c>
      <c r="R91" s="113">
        <f t="shared" si="54"/>
        <v>0</v>
      </c>
      <c r="S91" s="113">
        <f t="shared" si="54"/>
        <v>0</v>
      </c>
      <c r="T91" s="113">
        <f t="shared" si="54"/>
        <v>0</v>
      </c>
      <c r="U91" s="113">
        <f t="shared" si="54"/>
        <v>0</v>
      </c>
      <c r="V91" s="114"/>
      <c r="W91" s="114"/>
      <c r="X91" s="114">
        <f t="shared" ref="X91" si="64">S91*($G91-$H91)-SUM(V91:W91)</f>
        <v>0</v>
      </c>
      <c r="Y91" s="114">
        <f t="shared" si="61"/>
        <v>0</v>
      </c>
      <c r="Z91" s="114">
        <f t="shared" si="62"/>
        <v>0</v>
      </c>
      <c r="AA91" s="6"/>
    </row>
    <row r="92" spans="1:27" s="7" customFormat="1" ht="21" customHeight="1" x14ac:dyDescent="0.25">
      <c r="A92" s="365"/>
      <c r="B92" s="1"/>
      <c r="C92" s="7" t="str">
        <f>+'RVK SVÆDI'!C69</f>
        <v>Brautarholt 4-4a og 18-20</v>
      </c>
      <c r="D92" s="8">
        <v>1</v>
      </c>
      <c r="E92" s="6" t="str">
        <f>+'RVK SVÆDI'!E71</f>
        <v>Hlíðar</v>
      </c>
      <c r="F92" s="6" t="str">
        <f>+'RVK SVÆDI'!F71</f>
        <v>Háteigsskóli</v>
      </c>
      <c r="G92" s="112">
        <f>64+16</f>
        <v>80</v>
      </c>
      <c r="H92" s="112">
        <v>80</v>
      </c>
      <c r="I92" s="112">
        <v>0</v>
      </c>
      <c r="J92" s="6">
        <f t="shared" ref="J92:J93" si="65">+IF(D92=1,(G92-H92-I92),IF(D92=2,(G92-H92-I92),0))</f>
        <v>0</v>
      </c>
      <c r="K92" s="6"/>
      <c r="L92" s="110" t="s">
        <v>306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2"/>
      <c r="W92" s="112"/>
      <c r="X92" s="375">
        <v>80</v>
      </c>
      <c r="Y92" s="112">
        <v>0</v>
      </c>
      <c r="Z92" s="112">
        <v>0</v>
      </c>
      <c r="AA92" s="6"/>
    </row>
    <row r="93" spans="1:27" s="7" customFormat="1" ht="21" customHeight="1" x14ac:dyDescent="0.25">
      <c r="A93" s="412"/>
      <c r="B93" s="1"/>
      <c r="C93" s="7" t="s">
        <v>505</v>
      </c>
      <c r="D93" s="8">
        <v>1</v>
      </c>
      <c r="E93" s="6" t="str">
        <f>+'RVK SVÆDI'!E72</f>
        <v>Hlíðar</v>
      </c>
      <c r="F93" s="6" t="str">
        <f>+'RVK SVÆDI'!F72</f>
        <v>Háteigsskóli</v>
      </c>
      <c r="G93" s="112">
        <v>38</v>
      </c>
      <c r="H93" s="112">
        <v>38</v>
      </c>
      <c r="I93" s="112">
        <v>0</v>
      </c>
      <c r="J93" s="6">
        <f t="shared" si="65"/>
        <v>0</v>
      </c>
      <c r="K93" s="6"/>
      <c r="L93" s="110" t="s">
        <v>306</v>
      </c>
      <c r="M93" s="111"/>
      <c r="N93" s="111"/>
      <c r="O93" s="111"/>
      <c r="P93" s="111"/>
      <c r="Q93" s="111"/>
      <c r="R93" s="111"/>
      <c r="S93" s="111"/>
      <c r="T93" s="111"/>
      <c r="U93" s="111"/>
      <c r="V93" s="112"/>
      <c r="W93" s="112"/>
      <c r="X93" s="112">
        <v>0</v>
      </c>
      <c r="Y93" s="375">
        <v>38</v>
      </c>
      <c r="Z93" s="112">
        <v>0</v>
      </c>
      <c r="AA93" s="6"/>
    </row>
    <row r="94" spans="1:27" s="7" customFormat="1" ht="21" customHeight="1" x14ac:dyDescent="0.25">
      <c r="A94" s="412"/>
      <c r="B94" s="1"/>
      <c r="C94" s="7" t="str">
        <f>+'RVK SVÆDI'!C71</f>
        <v>Laugavegur-Holt II (Heklureitur)</v>
      </c>
      <c r="D94" s="374">
        <v>3</v>
      </c>
      <c r="E94" s="6" t="str">
        <f>+'RVK SVÆDI'!E71</f>
        <v>Hlíðar</v>
      </c>
      <c r="F94" s="6" t="str">
        <f>+'RVK SVÆDI'!F71</f>
        <v>Háteigsskóli</v>
      </c>
      <c r="G94" s="112">
        <v>463</v>
      </c>
      <c r="H94" s="112">
        <v>0</v>
      </c>
      <c r="I94" s="112">
        <v>0</v>
      </c>
      <c r="J94" s="6">
        <f t="shared" si="15"/>
        <v>0</v>
      </c>
      <c r="K94" s="6"/>
      <c r="L94" s="110" t="s">
        <v>306</v>
      </c>
      <c r="M94" s="111"/>
      <c r="N94" s="111"/>
      <c r="O94" s="111"/>
      <c r="P94" s="111"/>
      <c r="Q94" s="111"/>
      <c r="R94" s="111"/>
      <c r="S94" s="111"/>
      <c r="T94" s="111"/>
      <c r="U94" s="111"/>
      <c r="V94" s="112"/>
      <c r="W94" s="112"/>
      <c r="X94" s="112">
        <v>0</v>
      </c>
      <c r="Y94" s="112">
        <v>0</v>
      </c>
      <c r="Z94" s="375">
        <v>50</v>
      </c>
      <c r="AA94" s="6"/>
    </row>
    <row r="95" spans="1:27" s="181" customFormat="1" ht="21" customHeight="1" x14ac:dyDescent="0.25">
      <c r="A95" s="412"/>
      <c r="B95" s="1"/>
      <c r="C95" s="174" t="str">
        <f>+'RVK SVÆDI'!C72</f>
        <v>Laugavegur-Holt II (Hótel L176)</v>
      </c>
      <c r="D95" s="175">
        <v>2</v>
      </c>
      <c r="E95" s="129" t="str">
        <f>+'RVK SVÆDI'!E72</f>
        <v>Hlíðar</v>
      </c>
      <c r="F95" s="129" t="str">
        <f>+'RVK SVÆDI'!F72</f>
        <v>Háteigsskóli</v>
      </c>
      <c r="G95" s="176"/>
      <c r="H95" s="176"/>
      <c r="I95" s="176"/>
      <c r="J95" s="177"/>
      <c r="K95" s="129"/>
      <c r="L95" s="178"/>
      <c r="M95" s="129"/>
      <c r="N95" s="178"/>
      <c r="O95" s="178"/>
      <c r="P95" s="129"/>
      <c r="Q95" s="179"/>
      <c r="R95" s="179"/>
      <c r="S95" s="179"/>
      <c r="T95" s="179"/>
      <c r="U95" s="179"/>
      <c r="V95" s="180"/>
      <c r="W95" s="180"/>
      <c r="X95" s="180"/>
      <c r="Y95" s="180"/>
      <c r="Z95" s="180"/>
      <c r="AA95" s="129"/>
    </row>
    <row r="96" spans="1:27" s="181" customFormat="1" ht="21" customHeight="1" x14ac:dyDescent="0.25">
      <c r="A96" s="416"/>
      <c r="B96" s="1"/>
      <c r="C96" s="7" t="str">
        <f>+'RVK SVÆDI'!C73</f>
        <v>Þverholt 13</v>
      </c>
      <c r="D96" s="8">
        <v>1</v>
      </c>
      <c r="E96" s="6" t="str">
        <f>+'RVK SVÆDI'!E73</f>
        <v>Hlíðar</v>
      </c>
      <c r="F96" s="6" t="str">
        <f>+'RVK SVÆDI'!F73</f>
        <v>Háteigsskóli</v>
      </c>
      <c r="G96" s="112">
        <v>38</v>
      </c>
      <c r="H96" s="112">
        <v>0</v>
      </c>
      <c r="I96" s="375">
        <v>38</v>
      </c>
      <c r="J96" s="6">
        <f>+IF(D96=1,(G96-H96-I96),IF(D96=2,(G96-H96-I96),0))</f>
        <v>0</v>
      </c>
      <c r="K96" s="129"/>
      <c r="L96" s="110" t="s">
        <v>306</v>
      </c>
      <c r="M96" s="111"/>
      <c r="N96" s="111"/>
      <c r="O96" s="111"/>
      <c r="P96" s="111"/>
      <c r="Q96" s="111"/>
      <c r="R96" s="111"/>
      <c r="S96" s="111"/>
      <c r="T96" s="111"/>
      <c r="U96" s="111"/>
      <c r="V96" s="112"/>
      <c r="W96" s="112"/>
      <c r="X96" s="112">
        <v>0</v>
      </c>
      <c r="Y96" s="375">
        <v>38</v>
      </c>
      <c r="Z96" s="112">
        <v>0</v>
      </c>
      <c r="AA96" s="129"/>
    </row>
    <row r="97" spans="1:27" s="181" customFormat="1" ht="21" customHeight="1" x14ac:dyDescent="0.25">
      <c r="A97" s="416"/>
      <c r="B97" s="1"/>
      <c r="C97" s="7" t="str">
        <f>+'RVK SVÆDI'!C74</f>
        <v>Þverholt 18</v>
      </c>
      <c r="D97" s="8">
        <v>3</v>
      </c>
      <c r="E97" s="6" t="str">
        <f>+'RVK SVÆDI'!E74</f>
        <v>Hlíðar</v>
      </c>
      <c r="F97" s="6" t="str">
        <f>+'RVK SVÆDI'!F74</f>
        <v>Háteigsskóli</v>
      </c>
      <c r="G97" s="112">
        <v>33</v>
      </c>
      <c r="H97" s="112">
        <v>0</v>
      </c>
      <c r="I97" s="112">
        <v>0</v>
      </c>
      <c r="J97" s="6">
        <f>+IF(D97=1,(G97-H97-I97),IF(D97=2,(G97-H97-I97),0))</f>
        <v>0</v>
      </c>
      <c r="K97" s="129"/>
      <c r="L97" s="110" t="s">
        <v>306</v>
      </c>
      <c r="M97" s="111"/>
      <c r="N97" s="111"/>
      <c r="O97" s="111"/>
      <c r="P97" s="111"/>
      <c r="Q97" s="111"/>
      <c r="R97" s="111"/>
      <c r="S97" s="111"/>
      <c r="T97" s="111"/>
      <c r="U97" s="111"/>
      <c r="V97" s="112"/>
      <c r="W97" s="112"/>
      <c r="X97" s="112">
        <v>0</v>
      </c>
      <c r="Y97" s="112">
        <v>0</v>
      </c>
      <c r="Z97" s="375">
        <v>33</v>
      </c>
      <c r="AA97" s="129"/>
    </row>
    <row r="98" spans="1:27" s="7" customFormat="1" ht="21" customHeight="1" x14ac:dyDescent="0.25">
      <c r="A98" s="412"/>
      <c r="B98" s="1"/>
      <c r="C98" s="7" t="str">
        <f>+'RVK SVÆDI'!C75</f>
        <v>Háaleitisbraut 1 (Valhöll)</v>
      </c>
      <c r="D98" s="374">
        <v>2</v>
      </c>
      <c r="E98" s="6" t="str">
        <f>+'RVK SVÆDI'!E75</f>
        <v>Hlíðar</v>
      </c>
      <c r="F98" s="6" t="str">
        <f>+'RVK SVÆDI'!F75</f>
        <v>Háteigsskóli</v>
      </c>
      <c r="G98" s="112">
        <v>47</v>
      </c>
      <c r="H98" s="112">
        <v>0</v>
      </c>
      <c r="I98" s="112">
        <v>0</v>
      </c>
      <c r="J98" s="6">
        <f>+IF(D98=1,(G98-H98-I98),IF(D98=2,(G98-H98-I98),0))</f>
        <v>47</v>
      </c>
      <c r="K98" s="6"/>
      <c r="L98" s="112">
        <v>1</v>
      </c>
      <c r="M98" s="6">
        <f>+L98*12</f>
        <v>12</v>
      </c>
      <c r="N98" s="112">
        <v>24</v>
      </c>
      <c r="O98" s="112">
        <v>14</v>
      </c>
      <c r="P98" s="6">
        <f>+N98+O98+18</f>
        <v>56</v>
      </c>
      <c r="Q98" s="113">
        <f>IFERROR(IF(AND((Q$238-$P98)/$M98&gt;0,(Q$238-$P98)/$M98&lt;1),(Q$238-$P98)/$M98,IF((Q$238-$P98)/$M98&gt;0,1,0)),0)</f>
        <v>0</v>
      </c>
      <c r="R98" s="113">
        <f>IFERROR(IF(AND((R$238-$P98)/$M98&gt;0,(R$238-$P98)/$M98&lt;1),(R$238-$P98)/$M98,IF((R$238-$P98)/$M98&gt;0,1,0)),0)</f>
        <v>0</v>
      </c>
      <c r="S98" s="113">
        <f>IFERROR(IF(AND((S$238-$P98)/$M98&gt;0,(S$238-$P98)/$M98&lt;1),(S$238-$P98)/$M98,IF((S$238-$P98)/$M98&gt;0,1,0)),0)</f>
        <v>0</v>
      </c>
      <c r="T98" s="113">
        <f>IFERROR(IF(AND((T$238-$P98)/$M98&gt;0,(T$238-$P98)/$M98&lt;1),(T$238-$P98)/$M98,IF((T$238-$P98)/$M98&gt;0,1,0)),0)</f>
        <v>0</v>
      </c>
      <c r="U98" s="113">
        <f>IFERROR(IF(AND((U$238-$P98)/$M98&gt;0,(U$238-$P98)/$M98&lt;1),(U$238-$P98)/$M98,IF((U$238-$P98)/$M98&gt;0,1,0)),0)</f>
        <v>0</v>
      </c>
      <c r="V98" s="114"/>
      <c r="W98" s="114"/>
      <c r="X98" s="114">
        <f>S98*($G98-$H98)-SUM(V98:W98)</f>
        <v>0</v>
      </c>
      <c r="Y98" s="114">
        <f>T98*($G98-$H98)-SUM(V98:X98)</f>
        <v>0</v>
      </c>
      <c r="Z98" s="114">
        <f>U98*($G98-$H98)-SUM(V98:Y98)</f>
        <v>0</v>
      </c>
      <c r="AA98" s="6"/>
    </row>
    <row r="99" spans="1:27" s="7" customFormat="1" ht="21" customHeight="1" x14ac:dyDescent="0.25">
      <c r="A99" s="412"/>
      <c r="B99" s="1"/>
      <c r="C99" s="7" t="str">
        <f>+'RVK SVÆDI'!C76</f>
        <v>Sjómannaskólareitur</v>
      </c>
      <c r="D99" s="374">
        <v>1</v>
      </c>
      <c r="E99" s="6" t="str">
        <f>+'RVK SVÆDI'!E76</f>
        <v>Hlíðar</v>
      </c>
      <c r="F99" s="6" t="str">
        <f>+'RVK SVÆDI'!F76</f>
        <v>Háteigsskóli</v>
      </c>
      <c r="G99" s="112">
        <v>118</v>
      </c>
      <c r="H99" s="112">
        <v>0</v>
      </c>
      <c r="I99" s="375">
        <v>51</v>
      </c>
      <c r="J99" s="6">
        <f t="shared" si="15"/>
        <v>67</v>
      </c>
      <c r="K99" s="6"/>
      <c r="L99" s="110" t="s">
        <v>306</v>
      </c>
      <c r="M99" s="111"/>
      <c r="N99" s="111"/>
      <c r="O99" s="111"/>
      <c r="P99" s="111"/>
      <c r="Q99" s="111"/>
      <c r="R99" s="111"/>
      <c r="S99" s="111"/>
      <c r="T99" s="111"/>
      <c r="U99" s="111"/>
      <c r="V99" s="112"/>
      <c r="W99" s="112"/>
      <c r="X99" s="375">
        <v>24</v>
      </c>
      <c r="Y99" s="375">
        <f>27+34</f>
        <v>61</v>
      </c>
      <c r="Z99" s="375">
        <v>34</v>
      </c>
      <c r="AA99" s="6"/>
    </row>
    <row r="100" spans="1:27" s="7" customFormat="1" ht="21" customHeight="1" x14ac:dyDescent="0.25">
      <c r="A100" s="412"/>
      <c r="B100" s="1"/>
      <c r="C100" s="7" t="str">
        <f>+'RVK SVÆDI'!C77</f>
        <v>KHÍ-lóð-nemendagarðar-Austurhlíð</v>
      </c>
      <c r="D100" s="8">
        <v>1</v>
      </c>
      <c r="E100" s="6" t="str">
        <f>+'RVK SVÆDI'!E77</f>
        <v>Hlíðar</v>
      </c>
      <c r="F100" s="6" t="str">
        <f>+'RVK SVÆDI'!F77</f>
        <v>Háteigsskóli</v>
      </c>
      <c r="G100" s="112">
        <v>160</v>
      </c>
      <c r="H100" s="375">
        <v>110</v>
      </c>
      <c r="I100" s="375">
        <v>50</v>
      </c>
      <c r="J100" s="6">
        <f t="shared" si="15"/>
        <v>0</v>
      </c>
      <c r="K100" s="6"/>
      <c r="L100" s="110" t="s">
        <v>306</v>
      </c>
      <c r="M100" s="111"/>
      <c r="N100" s="111"/>
      <c r="O100" s="111"/>
      <c r="P100" s="111"/>
      <c r="Q100" s="111"/>
      <c r="R100" s="111"/>
      <c r="S100" s="111"/>
      <c r="T100" s="111"/>
      <c r="U100" s="111"/>
      <c r="V100" s="112"/>
      <c r="W100" s="112">
        <f>60+50</f>
        <v>110</v>
      </c>
      <c r="X100" s="375">
        <v>50</v>
      </c>
      <c r="Y100" s="112">
        <v>0</v>
      </c>
      <c r="Z100" s="112">
        <v>0</v>
      </c>
      <c r="AA100" s="6"/>
    </row>
    <row r="101" spans="1:27" s="7" customFormat="1" ht="21" customHeight="1" x14ac:dyDescent="0.25">
      <c r="A101" s="412"/>
      <c r="B101" s="1"/>
      <c r="C101" s="7" t="str">
        <f>+'RVK SVÆDI'!C78</f>
        <v>Veðurstofuhæð</v>
      </c>
      <c r="D101" s="8">
        <v>3</v>
      </c>
      <c r="E101" s="6" t="str">
        <f>+'RVK SVÆDI'!E78</f>
        <v>Hlíðar</v>
      </c>
      <c r="F101" s="6" t="str">
        <f>+'RVK SVÆDI'!F78</f>
        <v>Hlíðaskóli</v>
      </c>
      <c r="G101" s="112">
        <v>250</v>
      </c>
      <c r="H101" s="112">
        <v>0</v>
      </c>
      <c r="I101" s="112">
        <v>0</v>
      </c>
      <c r="J101" s="6">
        <f t="shared" si="15"/>
        <v>0</v>
      </c>
      <c r="K101" s="6"/>
      <c r="L101" s="112">
        <v>5</v>
      </c>
      <c r="M101" s="6">
        <f t="shared" si="38"/>
        <v>60</v>
      </c>
      <c r="N101" s="112">
        <v>36</v>
      </c>
      <c r="O101" s="112">
        <v>14</v>
      </c>
      <c r="P101" s="6">
        <f t="shared" ref="P101:P102" si="66">+N101+O101+24</f>
        <v>74</v>
      </c>
      <c r="Q101" s="113">
        <f t="shared" ref="Q101:U102" si="67">IFERROR(IF(AND((Q$238-$P101)/$M101&gt;0,(Q$238-$P101)/$M101&lt;1),(Q$238-$P101)/$M101,IF((Q$238-$P101)/$M101&gt;0,1,0)),0)</f>
        <v>0</v>
      </c>
      <c r="R101" s="113">
        <f t="shared" si="67"/>
        <v>0</v>
      </c>
      <c r="S101" s="113">
        <f t="shared" si="67"/>
        <v>0</v>
      </c>
      <c r="T101" s="113">
        <f t="shared" si="67"/>
        <v>0</v>
      </c>
      <c r="U101" s="113">
        <f t="shared" si="67"/>
        <v>0</v>
      </c>
      <c r="V101" s="114"/>
      <c r="W101" s="114"/>
      <c r="X101" s="114">
        <f t="shared" si="2"/>
        <v>0</v>
      </c>
      <c r="Y101" s="114">
        <f t="shared" si="3"/>
        <v>0</v>
      </c>
      <c r="Z101" s="114">
        <f t="shared" si="4"/>
        <v>0</v>
      </c>
      <c r="AA101" s="6"/>
    </row>
    <row r="102" spans="1:27" s="7" customFormat="1" ht="21" customHeight="1" x14ac:dyDescent="0.25">
      <c r="A102" s="412"/>
      <c r="B102" s="1"/>
      <c r="C102" s="365" t="str">
        <f>+'RVK SVÆDI'!C79</f>
        <v>Laugavegur 180 (B)</v>
      </c>
      <c r="D102" s="8">
        <v>5</v>
      </c>
      <c r="E102" s="6" t="str">
        <f>+'RVK SVÆDI'!E79</f>
        <v>Hlíðar</v>
      </c>
      <c r="F102" s="6" t="str">
        <f>+'RVK SVÆDI'!F79</f>
        <v>Háteigsskóli</v>
      </c>
      <c r="G102" s="112">
        <v>70</v>
      </c>
      <c r="H102" s="112">
        <v>0</v>
      </c>
      <c r="I102" s="112">
        <v>0</v>
      </c>
      <c r="J102" s="6">
        <f t="shared" si="15"/>
        <v>0</v>
      </c>
      <c r="K102" s="6"/>
      <c r="L102" s="112">
        <v>1.5</v>
      </c>
      <c r="M102" s="6">
        <f t="shared" si="38"/>
        <v>18</v>
      </c>
      <c r="N102" s="112">
        <v>48</v>
      </c>
      <c r="O102" s="112">
        <v>14</v>
      </c>
      <c r="P102" s="6">
        <f t="shared" si="66"/>
        <v>86</v>
      </c>
      <c r="Q102" s="113">
        <f t="shared" si="67"/>
        <v>0</v>
      </c>
      <c r="R102" s="113">
        <f t="shared" si="67"/>
        <v>0</v>
      </c>
      <c r="S102" s="113">
        <f t="shared" si="67"/>
        <v>0</v>
      </c>
      <c r="T102" s="113">
        <f t="shared" si="67"/>
        <v>0</v>
      </c>
      <c r="U102" s="113">
        <f t="shared" si="67"/>
        <v>0</v>
      </c>
      <c r="V102" s="114"/>
      <c r="W102" s="114"/>
      <c r="X102" s="114">
        <f t="shared" si="2"/>
        <v>0</v>
      </c>
      <c r="Y102" s="114">
        <f t="shared" si="3"/>
        <v>0</v>
      </c>
      <c r="Z102" s="114">
        <f t="shared" si="4"/>
        <v>0</v>
      </c>
      <c r="AA102" s="6"/>
    </row>
    <row r="103" spans="1:27" s="7" customFormat="1" ht="21" customHeight="1" x14ac:dyDescent="0.25">
      <c r="A103" s="412"/>
      <c r="B103" s="1"/>
      <c r="C103" s="7" t="str">
        <f>+'RVK SVÆDI'!C80</f>
        <v>Starmýri 2a</v>
      </c>
      <c r="D103" s="374">
        <v>1</v>
      </c>
      <c r="E103" s="6" t="str">
        <f>+'RVK SVÆDI'!E80</f>
        <v>Hlíðar</v>
      </c>
      <c r="F103" s="6" t="str">
        <f>+'RVK SVÆDI'!F80</f>
        <v>Háteigsskóli</v>
      </c>
      <c r="G103" s="112">
        <v>18</v>
      </c>
      <c r="H103" s="112">
        <v>0</v>
      </c>
      <c r="I103" s="375">
        <v>18</v>
      </c>
      <c r="J103" s="6">
        <f t="shared" si="15"/>
        <v>0</v>
      </c>
      <c r="K103" s="6"/>
      <c r="L103" s="110" t="s">
        <v>306</v>
      </c>
      <c r="M103" s="111"/>
      <c r="N103" s="111"/>
      <c r="O103" s="111"/>
      <c r="P103" s="111"/>
      <c r="Q103" s="111"/>
      <c r="R103" s="111"/>
      <c r="S103" s="111"/>
      <c r="T103" s="111"/>
      <c r="U103" s="111"/>
      <c r="V103" s="112"/>
      <c r="W103" s="112"/>
      <c r="X103" s="112">
        <v>18</v>
      </c>
      <c r="Y103" s="112">
        <v>0</v>
      </c>
      <c r="Z103" s="112">
        <v>0</v>
      </c>
      <c r="AA103" s="6"/>
    </row>
    <row r="104" spans="1:27" s="7" customFormat="1" ht="21" customHeight="1" x14ac:dyDescent="0.25">
      <c r="A104" s="412"/>
      <c r="B104" s="1"/>
      <c r="C104" s="365" t="str">
        <f>+'RVK SVÆDI'!C81</f>
        <v>Hlíðar hverfisskipulag</v>
      </c>
      <c r="D104" s="8">
        <v>4</v>
      </c>
      <c r="E104" s="6" t="str">
        <f>+'RVK SVÆDI'!E81</f>
        <v>Hlíðar</v>
      </c>
      <c r="F104" s="6" t="str">
        <f>+'RVK SVÆDI'!F81</f>
        <v>Hlíðaskóli</v>
      </c>
      <c r="G104" s="112">
        <v>50</v>
      </c>
      <c r="H104" s="112">
        <v>0</v>
      </c>
      <c r="I104" s="112">
        <v>0</v>
      </c>
      <c r="J104" s="6">
        <f t="shared" si="15"/>
        <v>0</v>
      </c>
      <c r="K104" s="6"/>
      <c r="L104" s="112">
        <v>10</v>
      </c>
      <c r="M104" s="6">
        <f t="shared" si="38"/>
        <v>120</v>
      </c>
      <c r="N104" s="112">
        <v>48</v>
      </c>
      <c r="O104" s="112">
        <v>14</v>
      </c>
      <c r="P104" s="6">
        <f t="shared" ref="P104" si="68">+N104+O104+18</f>
        <v>80</v>
      </c>
      <c r="Q104" s="113">
        <f t="shared" ref="Q104:U108" si="69">IFERROR(IF(AND((Q$238-$P104)/$M104&gt;0,(Q$238-$P104)/$M104&lt;1),(Q$238-$P104)/$M104,IF((Q$238-$P104)/$M104&gt;0,1,0)),0)</f>
        <v>0</v>
      </c>
      <c r="R104" s="113">
        <f t="shared" si="69"/>
        <v>0</v>
      </c>
      <c r="S104" s="113">
        <f t="shared" si="69"/>
        <v>0</v>
      </c>
      <c r="T104" s="113">
        <f t="shared" si="69"/>
        <v>0</v>
      </c>
      <c r="U104" s="113">
        <f t="shared" si="69"/>
        <v>0</v>
      </c>
      <c r="V104" s="114"/>
      <c r="W104" s="114"/>
      <c r="X104" s="114">
        <f t="shared" si="2"/>
        <v>0</v>
      </c>
      <c r="Y104" s="114">
        <f t="shared" si="3"/>
        <v>0</v>
      </c>
      <c r="Z104" s="114">
        <f t="shared" si="4"/>
        <v>0</v>
      </c>
      <c r="AA104" s="6"/>
    </row>
    <row r="105" spans="1:27" s="7" customFormat="1" ht="21" customHeight="1" x14ac:dyDescent="0.25">
      <c r="A105" s="412"/>
      <c r="B105" s="1"/>
      <c r="C105" s="365" t="str">
        <f>+'RVK SVÆDI'!C82</f>
        <v>Miklabraut - stokkur-vestur og Skógarhlíð</v>
      </c>
      <c r="D105" s="8">
        <v>4</v>
      </c>
      <c r="E105" s="6" t="str">
        <f>+'RVK SVÆDI'!E82</f>
        <v>Hlíðar</v>
      </c>
      <c r="F105" s="6" t="str">
        <f>+'RVK SVÆDI'!F82</f>
        <v>Hlíðaskóli</v>
      </c>
      <c r="G105" s="112">
        <v>350</v>
      </c>
      <c r="H105" s="112">
        <v>0</v>
      </c>
      <c r="I105" s="112">
        <v>0</v>
      </c>
      <c r="J105" s="6">
        <f t="shared" si="15"/>
        <v>0</v>
      </c>
      <c r="K105" s="6"/>
      <c r="L105" s="112">
        <v>6</v>
      </c>
      <c r="M105" s="6">
        <f t="shared" si="38"/>
        <v>72</v>
      </c>
      <c r="N105" s="112">
        <v>84</v>
      </c>
      <c r="O105" s="112">
        <v>14</v>
      </c>
      <c r="P105" s="6">
        <f t="shared" ref="P105:P108" si="70">+N105+O105+24</f>
        <v>122</v>
      </c>
      <c r="Q105" s="113">
        <f t="shared" si="69"/>
        <v>0</v>
      </c>
      <c r="R105" s="113">
        <f t="shared" si="69"/>
        <v>0</v>
      </c>
      <c r="S105" s="113">
        <f t="shared" si="69"/>
        <v>0</v>
      </c>
      <c r="T105" s="113">
        <f t="shared" si="69"/>
        <v>0</v>
      </c>
      <c r="U105" s="113">
        <f t="shared" si="69"/>
        <v>0</v>
      </c>
      <c r="V105" s="114"/>
      <c r="W105" s="114"/>
      <c r="X105" s="114">
        <f t="shared" si="2"/>
        <v>0</v>
      </c>
      <c r="Y105" s="114">
        <f t="shared" si="3"/>
        <v>0</v>
      </c>
      <c r="Z105" s="114">
        <f t="shared" si="4"/>
        <v>0</v>
      </c>
      <c r="AA105" s="6"/>
    </row>
    <row r="106" spans="1:27" s="7" customFormat="1" ht="21" customHeight="1" x14ac:dyDescent="0.25">
      <c r="A106" s="412"/>
      <c r="B106" s="1"/>
      <c r="C106" s="365" t="str">
        <f>+'RVK SVÆDI'!C83</f>
        <v>Miklabraut - stokkur-austur</v>
      </c>
      <c r="D106" s="8">
        <v>4</v>
      </c>
      <c r="E106" s="6" t="str">
        <f>+'RVK SVÆDI'!E83</f>
        <v>Hlíðar</v>
      </c>
      <c r="F106" s="6" t="str">
        <f>+'RVK SVÆDI'!F83</f>
        <v>Hlíðaskóli</v>
      </c>
      <c r="G106" s="112">
        <v>600</v>
      </c>
      <c r="H106" s="112">
        <v>0</v>
      </c>
      <c r="I106" s="112">
        <v>0</v>
      </c>
      <c r="J106" s="6">
        <f t="shared" si="15"/>
        <v>0</v>
      </c>
      <c r="K106" s="6"/>
      <c r="L106" s="112">
        <v>8</v>
      </c>
      <c r="M106" s="6">
        <f t="shared" si="38"/>
        <v>96</v>
      </c>
      <c r="N106" s="112">
        <v>120</v>
      </c>
      <c r="O106" s="112">
        <v>14</v>
      </c>
      <c r="P106" s="6">
        <f t="shared" si="70"/>
        <v>158</v>
      </c>
      <c r="Q106" s="113">
        <f t="shared" si="69"/>
        <v>0</v>
      </c>
      <c r="R106" s="113">
        <f t="shared" si="69"/>
        <v>0</v>
      </c>
      <c r="S106" s="113">
        <f t="shared" si="69"/>
        <v>0</v>
      </c>
      <c r="T106" s="113">
        <f t="shared" si="69"/>
        <v>0</v>
      </c>
      <c r="U106" s="113">
        <f t="shared" si="69"/>
        <v>0</v>
      </c>
      <c r="V106" s="114"/>
      <c r="W106" s="114"/>
      <c r="X106" s="114">
        <f t="shared" si="2"/>
        <v>0</v>
      </c>
      <c r="Y106" s="114">
        <f t="shared" si="3"/>
        <v>0</v>
      </c>
      <c r="Z106" s="114">
        <f t="shared" si="4"/>
        <v>0</v>
      </c>
      <c r="AA106" s="6"/>
    </row>
    <row r="107" spans="1:27" s="7" customFormat="1" ht="21" customHeight="1" x14ac:dyDescent="0.25">
      <c r="A107" s="412"/>
      <c r="B107" s="1"/>
      <c r="C107" s="365" t="str">
        <f>+'RVK SVÆDI'!C84</f>
        <v>Lögreglustöðvarreitur</v>
      </c>
      <c r="D107" s="8">
        <v>4</v>
      </c>
      <c r="E107" s="6" t="str">
        <f>+'RVK SVÆDI'!E84</f>
        <v>Laugardalur</v>
      </c>
      <c r="F107" s="6" t="str">
        <f>+'RVK SVÆDI'!F84</f>
        <v>Austurbæjarskóli</v>
      </c>
      <c r="G107" s="112">
        <v>100</v>
      </c>
      <c r="H107" s="112">
        <v>0</v>
      </c>
      <c r="I107" s="112">
        <v>0</v>
      </c>
      <c r="J107" s="6">
        <f t="shared" si="15"/>
        <v>0</v>
      </c>
      <c r="K107" s="6"/>
      <c r="L107" s="112">
        <v>2</v>
      </c>
      <c r="M107" s="6">
        <f t="shared" si="38"/>
        <v>24</v>
      </c>
      <c r="N107" s="112">
        <v>84</v>
      </c>
      <c r="O107" s="112">
        <v>14</v>
      </c>
      <c r="P107" s="6">
        <f t="shared" si="70"/>
        <v>122</v>
      </c>
      <c r="Q107" s="113">
        <f t="shared" si="69"/>
        <v>0</v>
      </c>
      <c r="R107" s="113">
        <f t="shared" si="69"/>
        <v>0</v>
      </c>
      <c r="S107" s="113">
        <f t="shared" si="69"/>
        <v>0</v>
      </c>
      <c r="T107" s="113">
        <f t="shared" si="69"/>
        <v>0</v>
      </c>
      <c r="U107" s="113">
        <f t="shared" si="69"/>
        <v>0</v>
      </c>
      <c r="V107" s="114"/>
      <c r="W107" s="114"/>
      <c r="X107" s="114">
        <f t="shared" si="2"/>
        <v>0</v>
      </c>
      <c r="Y107" s="114">
        <f t="shared" si="3"/>
        <v>0</v>
      </c>
      <c r="Z107" s="114">
        <f t="shared" si="4"/>
        <v>0</v>
      </c>
      <c r="AA107" s="6"/>
    </row>
    <row r="108" spans="1:27" s="7" customFormat="1" ht="21" customHeight="1" x14ac:dyDescent="0.25">
      <c r="A108" s="412"/>
      <c r="B108" s="1"/>
      <c r="C108" s="365" t="str">
        <f>+'RVK SVÆDI'!C85</f>
        <v>Guðrúnartúnsreitur</v>
      </c>
      <c r="D108" s="374">
        <v>2</v>
      </c>
      <c r="E108" s="6" t="str">
        <f>+'RVK SVÆDI'!E85</f>
        <v>Laugardalur</v>
      </c>
      <c r="F108" s="6" t="str">
        <f>+'RVK SVÆDI'!F85</f>
        <v>Laugarnesskóli</v>
      </c>
      <c r="G108" s="112">
        <v>100</v>
      </c>
      <c r="H108" s="112">
        <v>0</v>
      </c>
      <c r="I108" s="112">
        <v>0</v>
      </c>
      <c r="J108" s="6">
        <f>+IF(D108=1,(G108-H108-I108),IF(D108=2,(G108-H108-I108),0))</f>
        <v>100</v>
      </c>
      <c r="K108" s="6"/>
      <c r="L108" s="112">
        <v>4</v>
      </c>
      <c r="M108" s="6">
        <f t="shared" si="38"/>
        <v>48</v>
      </c>
      <c r="N108" s="112">
        <v>84</v>
      </c>
      <c r="O108" s="112">
        <v>14</v>
      </c>
      <c r="P108" s="6">
        <f t="shared" si="70"/>
        <v>122</v>
      </c>
      <c r="Q108" s="113">
        <f t="shared" si="69"/>
        <v>0</v>
      </c>
      <c r="R108" s="113">
        <f t="shared" si="69"/>
        <v>0</v>
      </c>
      <c r="S108" s="113">
        <f t="shared" si="69"/>
        <v>0</v>
      </c>
      <c r="T108" s="113">
        <f t="shared" si="69"/>
        <v>0</v>
      </c>
      <c r="U108" s="113">
        <f t="shared" si="69"/>
        <v>0</v>
      </c>
      <c r="V108" s="114"/>
      <c r="W108" s="114"/>
      <c r="X108" s="114">
        <f t="shared" si="2"/>
        <v>0</v>
      </c>
      <c r="Y108" s="114">
        <f t="shared" si="3"/>
        <v>0</v>
      </c>
      <c r="Z108" s="114">
        <f t="shared" si="4"/>
        <v>0</v>
      </c>
      <c r="AA108" s="6"/>
    </row>
    <row r="109" spans="1:27" s="181" customFormat="1" ht="21" customHeight="1" x14ac:dyDescent="0.25">
      <c r="A109" s="412"/>
      <c r="B109" s="1"/>
      <c r="C109" s="174" t="str">
        <f>+'RVK SVÆDI'!C86</f>
        <v>Höfðatorg</v>
      </c>
      <c r="D109" s="175">
        <v>1</v>
      </c>
      <c r="E109" s="129" t="str">
        <f>+'RVK SVÆDI'!E86</f>
        <v>Laugardalur</v>
      </c>
      <c r="F109" s="129" t="str">
        <f>+'RVK SVÆDI'!F86</f>
        <v>Austurbæjarskóli</v>
      </c>
      <c r="G109" s="176">
        <v>0</v>
      </c>
      <c r="H109" s="176">
        <v>0</v>
      </c>
      <c r="I109" s="176">
        <v>0</v>
      </c>
      <c r="J109" s="177">
        <f t="shared" si="15"/>
        <v>0</v>
      </c>
      <c r="K109" s="129"/>
      <c r="L109" s="178"/>
      <c r="M109" s="129"/>
      <c r="N109" s="178"/>
      <c r="O109" s="178"/>
      <c r="P109" s="129"/>
      <c r="Q109" s="179"/>
      <c r="R109" s="179"/>
      <c r="S109" s="179"/>
      <c r="T109" s="179"/>
      <c r="U109" s="179"/>
      <c r="V109" s="180"/>
      <c r="W109" s="180"/>
      <c r="X109" s="180"/>
      <c r="Y109" s="180"/>
      <c r="Z109" s="180"/>
      <c r="AA109" s="129"/>
    </row>
    <row r="110" spans="1:27" s="7" customFormat="1" ht="21" customHeight="1" x14ac:dyDescent="0.25">
      <c r="A110" s="412"/>
      <c r="B110" s="1"/>
      <c r="C110" s="365" t="str">
        <f>+'RVK SVÆDI'!C87</f>
        <v>Borgartúnsreitir (M6a)</v>
      </c>
      <c r="D110" s="8">
        <v>4</v>
      </c>
      <c r="E110" s="6" t="str">
        <f>+'RVK SVÆDI'!E87</f>
        <v>Laugardalur</v>
      </c>
      <c r="F110" s="6" t="str">
        <f>+'RVK SVÆDI'!F87</f>
        <v>Laugarnesskóli</v>
      </c>
      <c r="G110" s="112">
        <v>103</v>
      </c>
      <c r="H110" s="112">
        <v>0</v>
      </c>
      <c r="I110" s="112">
        <v>0</v>
      </c>
      <c r="J110" s="6">
        <f t="shared" si="15"/>
        <v>0</v>
      </c>
      <c r="K110" s="6"/>
      <c r="L110" s="112">
        <v>3</v>
      </c>
      <c r="M110" s="6">
        <f t="shared" si="38"/>
        <v>36</v>
      </c>
      <c r="N110" s="112">
        <v>48</v>
      </c>
      <c r="O110" s="112">
        <v>14</v>
      </c>
      <c r="P110" s="6">
        <f>+N110+O110+24</f>
        <v>86</v>
      </c>
      <c r="Q110" s="113">
        <f>IFERROR(IF(AND((Q$238-$P110)/$M110&gt;0,(Q$238-$P110)/$M110&lt;1),(Q$238-$P110)/$M110,IF((Q$238-$P110)/$M110&gt;0,1,0)),0)</f>
        <v>0</v>
      </c>
      <c r="R110" s="113">
        <f>IFERROR(IF(AND((R$238-$P110)/$M110&gt;0,(R$238-$P110)/$M110&lt;1),(R$238-$P110)/$M110,IF((R$238-$P110)/$M110&gt;0,1,0)),0)</f>
        <v>0</v>
      </c>
      <c r="S110" s="113">
        <f>IFERROR(IF(AND((S$238-$P110)/$M110&gt;0,(S$238-$P110)/$M110&lt;1),(S$238-$P110)/$M110,IF((S$238-$P110)/$M110&gt;0,1,0)),0)</f>
        <v>0</v>
      </c>
      <c r="T110" s="113">
        <f>IFERROR(IF(AND((T$238-$P110)/$M110&gt;0,(T$238-$P110)/$M110&lt;1),(T$238-$P110)/$M110,IF((T$238-$P110)/$M110&gt;0,1,0)),0)</f>
        <v>0</v>
      </c>
      <c r="U110" s="113">
        <f>IFERROR(IF(AND((U$238-$P110)/$M110&gt;0,(U$238-$P110)/$M110&lt;1),(U$238-$P110)/$M110,IF((U$238-$P110)/$M110&gt;0,1,0)),0)</f>
        <v>0</v>
      </c>
      <c r="V110" s="114"/>
      <c r="W110" s="114"/>
      <c r="X110" s="114">
        <f t="shared" si="2"/>
        <v>0</v>
      </c>
      <c r="Y110" s="114">
        <f t="shared" si="3"/>
        <v>0</v>
      </c>
      <c r="Z110" s="114">
        <f t="shared" si="4"/>
        <v>0</v>
      </c>
      <c r="AA110" s="6"/>
    </row>
    <row r="111" spans="1:27" s="7" customFormat="1" ht="21" customHeight="1" x14ac:dyDescent="0.25">
      <c r="A111" s="412"/>
      <c r="B111" s="1"/>
      <c r="C111" s="7" t="str">
        <f>+'RVK SVÆDI'!C88</f>
        <v>Borgartún 24</v>
      </c>
      <c r="D111" s="374">
        <v>1</v>
      </c>
      <c r="E111" s="6" t="str">
        <f>+'RVK SVÆDI'!E88</f>
        <v>Laugardalur</v>
      </c>
      <c r="F111" s="6" t="str">
        <f>+'RVK SVÆDI'!F88</f>
        <v>Laugarnesskóli</v>
      </c>
      <c r="G111" s="112">
        <v>65</v>
      </c>
      <c r="H111" s="112">
        <v>0</v>
      </c>
      <c r="I111" s="375">
        <v>65</v>
      </c>
      <c r="J111" s="6">
        <f t="shared" si="15"/>
        <v>0</v>
      </c>
      <c r="K111" s="6"/>
      <c r="L111" s="110" t="s">
        <v>306</v>
      </c>
      <c r="M111" s="111"/>
      <c r="N111" s="111"/>
      <c r="O111" s="111"/>
      <c r="P111" s="111"/>
      <c r="Q111" s="111"/>
      <c r="R111" s="111"/>
      <c r="S111" s="111"/>
      <c r="T111" s="111"/>
      <c r="U111" s="111"/>
      <c r="V111" s="112"/>
      <c r="W111" s="112"/>
      <c r="X111" s="375">
        <v>0</v>
      </c>
      <c r="Y111" s="112">
        <v>65</v>
      </c>
      <c r="Z111" s="112">
        <v>0</v>
      </c>
      <c r="AA111" s="6"/>
    </row>
    <row r="112" spans="1:27" s="7" customFormat="1" ht="21" customHeight="1" x14ac:dyDescent="0.25">
      <c r="A112" s="412"/>
      <c r="B112" s="1"/>
      <c r="C112" s="7" t="str">
        <f>+'RVK SVÆDI'!C89</f>
        <v>Borgartún 34-36</v>
      </c>
      <c r="D112" s="374">
        <v>2</v>
      </c>
      <c r="E112" s="6" t="str">
        <f>+'RVK SVÆDI'!E89</f>
        <v>Laugardalur</v>
      </c>
      <c r="F112" s="6" t="str">
        <f>+'RVK SVÆDI'!F89</f>
        <v>Laugarnesskóli</v>
      </c>
      <c r="G112" s="375">
        <v>102</v>
      </c>
      <c r="H112" s="112">
        <v>0</v>
      </c>
      <c r="I112" s="112">
        <v>0</v>
      </c>
      <c r="J112" s="6">
        <f t="shared" si="15"/>
        <v>102</v>
      </c>
      <c r="K112" s="6"/>
      <c r="L112" s="112">
        <v>1</v>
      </c>
      <c r="M112" s="6">
        <f t="shared" si="38"/>
        <v>12</v>
      </c>
      <c r="N112" s="112">
        <v>24</v>
      </c>
      <c r="O112" s="112">
        <v>14</v>
      </c>
      <c r="P112" s="6">
        <f t="shared" si="24"/>
        <v>56</v>
      </c>
      <c r="Q112" s="113">
        <f>IFERROR(IF(AND((Q$238-$P112)/$M112&gt;0,(Q$238-$P112)/$M112&lt;1),(Q$238-$P112)/$M112,IF((Q$238-$P112)/$M112&gt;0,1,0)),0)</f>
        <v>0</v>
      </c>
      <c r="R112" s="113">
        <f>IFERROR(IF(AND((R$238-$P112)/$M112&gt;0,(R$238-$P112)/$M112&lt;1),(R$238-$P112)/$M112,IF((R$238-$P112)/$M112&gt;0,1,0)),0)</f>
        <v>0</v>
      </c>
      <c r="S112" s="113">
        <f>IFERROR(IF(AND((S$238-$P112)/$M112&gt;0,(S$238-$P112)/$M112&lt;1),(S$238-$P112)/$M112,IF((S$238-$P112)/$M112&gt;0,1,0)),0)</f>
        <v>0</v>
      </c>
      <c r="T112" s="113">
        <f>IFERROR(IF(AND((T$238-$P112)/$M112&gt;0,(T$238-$P112)/$M112&lt;1),(T$238-$P112)/$M112,IF((T$238-$P112)/$M112&gt;0,1,0)),0)</f>
        <v>0</v>
      </c>
      <c r="U112" s="113">
        <f>IFERROR(IF(AND((U$238-$P112)/$M112&gt;0,(U$238-$P112)/$M112&lt;1),(U$238-$P112)/$M112,IF((U$238-$P112)/$M112&gt;0,1,0)),0)</f>
        <v>0</v>
      </c>
      <c r="V112" s="114"/>
      <c r="W112" s="114"/>
      <c r="X112" s="114">
        <f t="shared" si="2"/>
        <v>0</v>
      </c>
      <c r="Y112" s="114">
        <f t="shared" si="3"/>
        <v>0</v>
      </c>
      <c r="Z112" s="114">
        <f t="shared" si="4"/>
        <v>0</v>
      </c>
      <c r="AA112" s="6"/>
    </row>
    <row r="113" spans="1:27" s="181" customFormat="1" ht="21" customHeight="1" x14ac:dyDescent="0.25">
      <c r="A113" s="412"/>
      <c r="B113" s="1"/>
      <c r="C113" s="174" t="str">
        <f>+'RVK SVÆDI'!C90</f>
        <v>Borgartún 28</v>
      </c>
      <c r="D113" s="175">
        <v>1</v>
      </c>
      <c r="E113" s="129" t="str">
        <f>+'RVK SVÆDI'!E90</f>
        <v>Laugardalur</v>
      </c>
      <c r="F113" s="129" t="str">
        <f>+'RVK SVÆDI'!F90</f>
        <v>Laugarnesskóli</v>
      </c>
      <c r="G113" s="176">
        <v>21</v>
      </c>
      <c r="H113" s="176">
        <v>21</v>
      </c>
      <c r="I113" s="176">
        <f t="shared" ref="I113" si="71">+G113-H113</f>
        <v>0</v>
      </c>
      <c r="J113" s="177">
        <f t="shared" si="15"/>
        <v>0</v>
      </c>
      <c r="K113" s="129"/>
      <c r="L113" s="178"/>
      <c r="M113" s="129"/>
      <c r="N113" s="178"/>
      <c r="O113" s="178"/>
      <c r="P113" s="129"/>
      <c r="Q113" s="179"/>
      <c r="R113" s="179"/>
      <c r="S113" s="179"/>
      <c r="T113" s="179"/>
      <c r="U113" s="179"/>
      <c r="V113" s="114"/>
      <c r="W113" s="114"/>
      <c r="X113" s="180"/>
      <c r="Y113" s="180"/>
      <c r="Z113" s="180"/>
      <c r="AA113" s="129"/>
    </row>
    <row r="114" spans="1:27" s="7" customFormat="1" ht="21" customHeight="1" x14ac:dyDescent="0.25">
      <c r="A114" s="412"/>
      <c r="B114" s="1"/>
      <c r="C114" s="7" t="str">
        <f>+'RVK SVÆDI'!C91</f>
        <v>Sóltún 2-4</v>
      </c>
      <c r="D114" s="8">
        <v>2</v>
      </c>
      <c r="E114" s="6" t="str">
        <f>+'RVK SVÆDI'!E91</f>
        <v>Laugardalur</v>
      </c>
      <c r="F114" s="6" t="str">
        <f>+'RVK SVÆDI'!F91</f>
        <v>Laugarnesskóli</v>
      </c>
      <c r="G114" s="112">
        <v>30</v>
      </c>
      <c r="H114" s="112">
        <v>0</v>
      </c>
      <c r="I114" s="112">
        <v>0</v>
      </c>
      <c r="J114" s="380">
        <f t="shared" si="15"/>
        <v>30</v>
      </c>
      <c r="K114" s="6"/>
      <c r="L114" s="112">
        <v>1</v>
      </c>
      <c r="M114" s="6">
        <f t="shared" si="38"/>
        <v>12</v>
      </c>
      <c r="N114" s="112">
        <v>24</v>
      </c>
      <c r="O114" s="112">
        <v>14</v>
      </c>
      <c r="P114" s="6">
        <f t="shared" si="24"/>
        <v>56</v>
      </c>
      <c r="Q114" s="113">
        <f t="shared" ref="Q114:U115" si="72">IFERROR(IF(AND((Q$238-$P114)/$M114&gt;0,(Q$238-$P114)/$M114&lt;1),(Q$238-$P114)/$M114,IF((Q$238-$P114)/$M114&gt;0,1,0)),0)</f>
        <v>0</v>
      </c>
      <c r="R114" s="113">
        <f t="shared" si="72"/>
        <v>0</v>
      </c>
      <c r="S114" s="113">
        <f t="shared" si="72"/>
        <v>0</v>
      </c>
      <c r="T114" s="113">
        <f t="shared" si="72"/>
        <v>0</v>
      </c>
      <c r="U114" s="113">
        <f t="shared" si="72"/>
        <v>0</v>
      </c>
      <c r="V114" s="114"/>
      <c r="W114" s="114"/>
      <c r="X114" s="114">
        <f t="shared" si="2"/>
        <v>0</v>
      </c>
      <c r="Y114" s="114">
        <f t="shared" si="3"/>
        <v>0</v>
      </c>
      <c r="Z114" s="114">
        <f t="shared" si="4"/>
        <v>0</v>
      </c>
      <c r="AA114" s="6"/>
    </row>
    <row r="115" spans="1:27" s="7" customFormat="1" ht="21" customHeight="1" x14ac:dyDescent="0.25">
      <c r="A115" s="412"/>
      <c r="B115" s="1"/>
      <c r="C115" s="365" t="str">
        <f>+'RVK SVÆDI'!C92</f>
        <v>Hátún+</v>
      </c>
      <c r="D115" s="8">
        <v>5</v>
      </c>
      <c r="E115" s="6" t="str">
        <f>+'RVK SVÆDI'!E92</f>
        <v>Laugardalur</v>
      </c>
      <c r="F115" s="6" t="str">
        <f>+'RVK SVÆDI'!F92</f>
        <v>Laugarnesskóli</v>
      </c>
      <c r="G115" s="112">
        <v>400</v>
      </c>
      <c r="H115" s="112">
        <v>0</v>
      </c>
      <c r="I115" s="112">
        <v>0</v>
      </c>
      <c r="J115" s="6">
        <f t="shared" si="15"/>
        <v>0</v>
      </c>
      <c r="K115" s="6"/>
      <c r="L115" s="112">
        <v>10</v>
      </c>
      <c r="M115" s="6">
        <f t="shared" si="38"/>
        <v>120</v>
      </c>
      <c r="N115" s="112">
        <v>48</v>
      </c>
      <c r="O115" s="112">
        <v>16</v>
      </c>
      <c r="P115" s="6">
        <f>+N115+O115+24</f>
        <v>88</v>
      </c>
      <c r="Q115" s="113">
        <f t="shared" si="72"/>
        <v>0</v>
      </c>
      <c r="R115" s="113">
        <f t="shared" si="72"/>
        <v>0</v>
      </c>
      <c r="S115" s="113">
        <f t="shared" si="72"/>
        <v>0</v>
      </c>
      <c r="T115" s="113">
        <f t="shared" si="72"/>
        <v>0</v>
      </c>
      <c r="U115" s="113">
        <f t="shared" si="72"/>
        <v>0</v>
      </c>
      <c r="V115" s="114"/>
      <c r="W115" s="114"/>
      <c r="X115" s="114">
        <f t="shared" si="2"/>
        <v>0</v>
      </c>
      <c r="Y115" s="114">
        <f t="shared" si="3"/>
        <v>0</v>
      </c>
      <c r="Z115" s="114">
        <f t="shared" si="4"/>
        <v>0</v>
      </c>
      <c r="AA115" s="6"/>
    </row>
    <row r="116" spans="1:27" s="7" customFormat="1" ht="21" customHeight="1" x14ac:dyDescent="0.25">
      <c r="A116" s="412"/>
      <c r="B116" s="1"/>
      <c r="C116" s="7" t="str">
        <f>+'RVK SVÆDI'!C93</f>
        <v>Kirkjusandur</v>
      </c>
      <c r="D116" s="8">
        <v>1</v>
      </c>
      <c r="E116" s="6" t="str">
        <f>+'RVK SVÆDI'!E93</f>
        <v>Laugardalur</v>
      </c>
      <c r="F116" s="6" t="str">
        <f>+'RVK SVÆDI'!F93</f>
        <v>Laugarnesskóli</v>
      </c>
      <c r="G116" s="375">
        <v>288</v>
      </c>
      <c r="H116" s="375">
        <v>129</v>
      </c>
      <c r="I116" s="375">
        <v>87</v>
      </c>
      <c r="J116" s="373">
        <f t="shared" si="15"/>
        <v>72</v>
      </c>
      <c r="K116" s="6"/>
      <c r="L116" s="110" t="s">
        <v>306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2"/>
      <c r="W116" s="112"/>
      <c r="X116" s="112">
        <v>87</v>
      </c>
      <c r="Y116" s="112">
        <v>0</v>
      </c>
      <c r="Z116" s="112">
        <v>42</v>
      </c>
      <c r="AA116" s="6"/>
    </row>
    <row r="117" spans="1:27" s="7" customFormat="1" ht="21" customHeight="1" x14ac:dyDescent="0.25">
      <c r="A117" s="412"/>
      <c r="B117" s="1"/>
      <c r="C117" s="365" t="str">
        <f>+'RVK SVÆDI'!C94</f>
        <v>Kirkjusandur-Íslandsbankalóð (A reitur)</v>
      </c>
      <c r="D117" s="374">
        <v>3</v>
      </c>
      <c r="E117" s="6" t="str">
        <f>+'RVK SVÆDI'!E94</f>
        <v>Laugardalur</v>
      </c>
      <c r="F117" s="6" t="str">
        <f>+'RVK SVÆDI'!F94</f>
        <v>Laugarnesskóli</v>
      </c>
      <c r="G117" s="112">
        <v>100</v>
      </c>
      <c r="H117" s="112">
        <v>0</v>
      </c>
      <c r="I117" s="112">
        <v>0</v>
      </c>
      <c r="J117" s="6">
        <f t="shared" si="15"/>
        <v>0</v>
      </c>
      <c r="K117" s="6"/>
      <c r="L117" s="112">
        <v>2</v>
      </c>
      <c r="M117" s="6">
        <f t="shared" si="38"/>
        <v>24</v>
      </c>
      <c r="N117" s="112">
        <v>24</v>
      </c>
      <c r="O117" s="112">
        <v>16</v>
      </c>
      <c r="P117" s="6">
        <f>+N117+O117+24</f>
        <v>64</v>
      </c>
      <c r="Q117" s="113">
        <f>IFERROR(IF(AND((Q$238-$P117)/$M117&gt;0,(Q$238-$P117)/$M117&lt;1),(Q$238-$P117)/$M117,IF((Q$238-$P117)/$M117&gt;0,1,0)),0)</f>
        <v>0</v>
      </c>
      <c r="R117" s="113">
        <f>IFERROR(IF(AND((R$238-$P117)/$M117&gt;0,(R$238-$P117)/$M117&lt;1),(R$238-$P117)/$M117,IF((R$238-$P117)/$M117&gt;0,1,0)),0)</f>
        <v>0</v>
      </c>
      <c r="S117" s="113">
        <f>IFERROR(IF(AND((S$238-$P117)/$M117&gt;0,(S$238-$P117)/$M117&lt;1),(S$238-$P117)/$M117,IF((S$238-$P117)/$M117&gt;0,1,0)),0)</f>
        <v>0</v>
      </c>
      <c r="T117" s="113">
        <f>IFERROR(IF(AND((T$238-$P117)/$M117&gt;0,(T$238-$P117)/$M117&lt;1),(T$238-$P117)/$M117,IF((T$238-$P117)/$M117&gt;0,1,0)),0)</f>
        <v>0</v>
      </c>
      <c r="U117" s="113">
        <f>IFERROR(IF(AND((U$238-$P117)/$M117&gt;0,(U$238-$P117)/$M117&lt;1),(U$238-$P117)/$M117,IF((U$238-$P117)/$M117&gt;0,1,0)),0)</f>
        <v>0</v>
      </c>
      <c r="V117" s="114"/>
      <c r="W117" s="114"/>
      <c r="X117" s="114">
        <f t="shared" si="2"/>
        <v>0</v>
      </c>
      <c r="Y117" s="114">
        <f t="shared" si="3"/>
        <v>0</v>
      </c>
      <c r="Z117" s="114">
        <f t="shared" si="4"/>
        <v>0</v>
      </c>
      <c r="AA117" s="6"/>
    </row>
    <row r="118" spans="1:27" s="7" customFormat="1" ht="21" customHeight="1" x14ac:dyDescent="0.25">
      <c r="A118" s="365"/>
      <c r="B118" s="1"/>
      <c r="C118" s="365" t="str">
        <f>+'RVK SVÆDI'!C95</f>
        <v>Kirkjusandur-endurskoðun F reits</v>
      </c>
      <c r="D118" s="374">
        <v>3</v>
      </c>
      <c r="E118" s="6" t="str">
        <f>+'RVK SVÆDI'!E95</f>
        <v>Laugardalur</v>
      </c>
      <c r="F118" s="6" t="str">
        <f>+'RVK SVÆDI'!F95</f>
        <v>Laugarnesskóli</v>
      </c>
      <c r="G118" s="112">
        <v>100</v>
      </c>
      <c r="H118" s="112">
        <v>0</v>
      </c>
      <c r="I118" s="112">
        <v>0</v>
      </c>
      <c r="J118" s="6">
        <f t="shared" ref="J118" si="73">+IF(D118=1,(G118-H118-I118),IF(D118=2,(G118-H118-I118),0))</f>
        <v>0</v>
      </c>
      <c r="K118" s="6"/>
      <c r="L118" s="112">
        <v>2</v>
      </c>
      <c r="M118" s="6">
        <f t="shared" ref="M118" si="74">+L118*12</f>
        <v>24</v>
      </c>
      <c r="N118" s="112">
        <v>24</v>
      </c>
      <c r="O118" s="112">
        <v>16</v>
      </c>
      <c r="P118" s="6"/>
      <c r="Q118" s="113"/>
      <c r="R118" s="113"/>
      <c r="S118" s="113"/>
      <c r="T118" s="113"/>
      <c r="U118" s="113"/>
      <c r="V118" s="114"/>
      <c r="W118" s="114"/>
      <c r="X118" s="114"/>
      <c r="Y118" s="114"/>
      <c r="Z118" s="114"/>
      <c r="AA118" s="6"/>
    </row>
    <row r="119" spans="1:27" s="7" customFormat="1" ht="21" customHeight="1" x14ac:dyDescent="0.25">
      <c r="A119" s="412"/>
      <c r="B119" s="1"/>
      <c r="C119" s="7" t="str">
        <f>+'RVK SVÆDI'!C96</f>
        <v>Blómavalsreitur</v>
      </c>
      <c r="D119" s="8">
        <v>2</v>
      </c>
      <c r="E119" s="6" t="str">
        <f>+'RVK SVÆDI'!E96</f>
        <v>Laugardalur</v>
      </c>
      <c r="F119" s="6" t="str">
        <f>+'RVK SVÆDI'!F96</f>
        <v>Laugarnesskóli</v>
      </c>
      <c r="G119" s="112">
        <v>100</v>
      </c>
      <c r="H119" s="112">
        <v>0</v>
      </c>
      <c r="I119" s="112">
        <v>0</v>
      </c>
      <c r="J119" s="6">
        <f t="shared" si="15"/>
        <v>100</v>
      </c>
      <c r="K119" s="6"/>
      <c r="L119" s="112">
        <v>2.5</v>
      </c>
      <c r="M119" s="6">
        <f t="shared" si="38"/>
        <v>30</v>
      </c>
      <c r="N119" s="112">
        <v>36</v>
      </c>
      <c r="O119" s="112">
        <v>16</v>
      </c>
      <c r="P119" s="6">
        <f>+N119+O119+24</f>
        <v>76</v>
      </c>
      <c r="Q119" s="113">
        <f t="shared" ref="Q119:U120" si="75">IFERROR(IF(AND((Q$238-$P119)/$M119&gt;0,(Q$238-$P119)/$M119&lt;1),(Q$238-$P119)/$M119,IF((Q$238-$P119)/$M119&gt;0,1,0)),0)</f>
        <v>0</v>
      </c>
      <c r="R119" s="113">
        <f t="shared" si="75"/>
        <v>0</v>
      </c>
      <c r="S119" s="113">
        <f t="shared" si="75"/>
        <v>0</v>
      </c>
      <c r="T119" s="113">
        <f t="shared" si="75"/>
        <v>0</v>
      </c>
      <c r="U119" s="113">
        <f t="shared" si="75"/>
        <v>0</v>
      </c>
      <c r="V119" s="114"/>
      <c r="W119" s="114"/>
      <c r="X119" s="114">
        <f t="shared" si="2"/>
        <v>0</v>
      </c>
      <c r="Y119" s="114">
        <f t="shared" si="3"/>
        <v>0</v>
      </c>
      <c r="Z119" s="114">
        <f t="shared" si="4"/>
        <v>0</v>
      </c>
      <c r="AA119" s="6"/>
    </row>
    <row r="120" spans="1:27" s="7" customFormat="1" ht="21" customHeight="1" x14ac:dyDescent="0.25">
      <c r="A120" s="412"/>
      <c r="B120" s="1"/>
      <c r="C120" s="365" t="str">
        <f>+'RVK SVÆDI'!C97</f>
        <v>SS-lóð (LHÍ-reitur)</v>
      </c>
      <c r="D120" s="8">
        <v>4</v>
      </c>
      <c r="E120" s="6" t="str">
        <f>+'RVK SVÆDI'!E97</f>
        <v>Laugardalur</v>
      </c>
      <c r="F120" s="6" t="str">
        <f>+'RVK SVÆDI'!F97</f>
        <v>Laugarnesskóli</v>
      </c>
      <c r="G120" s="112">
        <v>225</v>
      </c>
      <c r="H120" s="112">
        <v>0</v>
      </c>
      <c r="I120" s="112">
        <v>0</v>
      </c>
      <c r="J120" s="6">
        <f t="shared" si="15"/>
        <v>0</v>
      </c>
      <c r="K120" s="6"/>
      <c r="L120" s="112">
        <v>3</v>
      </c>
      <c r="M120" s="6">
        <f t="shared" si="38"/>
        <v>36</v>
      </c>
      <c r="N120" s="375">
        <v>48</v>
      </c>
      <c r="O120" s="112">
        <v>14</v>
      </c>
      <c r="P120" s="6">
        <f>+N120+O120+24</f>
        <v>86</v>
      </c>
      <c r="Q120" s="113">
        <f t="shared" si="75"/>
        <v>0</v>
      </c>
      <c r="R120" s="113">
        <f t="shared" si="75"/>
        <v>0</v>
      </c>
      <c r="S120" s="113">
        <f t="shared" si="75"/>
        <v>0</v>
      </c>
      <c r="T120" s="113">
        <f t="shared" si="75"/>
        <v>0</v>
      </c>
      <c r="U120" s="113">
        <f t="shared" si="75"/>
        <v>0</v>
      </c>
      <c r="V120" s="114"/>
      <c r="W120" s="114"/>
      <c r="X120" s="114">
        <f t="shared" si="2"/>
        <v>0</v>
      </c>
      <c r="Y120" s="114">
        <f t="shared" si="3"/>
        <v>0</v>
      </c>
      <c r="Z120" s="114">
        <f t="shared" si="4"/>
        <v>0</v>
      </c>
      <c r="AA120" s="6"/>
    </row>
    <row r="121" spans="1:27" s="181" customFormat="1" ht="21" customHeight="1" x14ac:dyDescent="0.25">
      <c r="A121" s="412"/>
      <c r="B121" s="1"/>
      <c r="C121" s="174" t="str">
        <f>+'RVK SVÆDI'!C98</f>
        <v>Köllunarklettur</v>
      </c>
      <c r="D121" s="175">
        <v>4</v>
      </c>
      <c r="E121" s="129" t="str">
        <f>+'RVK SVÆDI'!E98</f>
        <v>Laugardalur</v>
      </c>
      <c r="F121" s="129" t="str">
        <f>+'RVK SVÆDI'!F98</f>
        <v>Laugarnesskóli</v>
      </c>
      <c r="G121" s="112"/>
      <c r="H121" s="112"/>
      <c r="I121" s="112"/>
      <c r="J121" s="6"/>
      <c r="K121" s="129"/>
      <c r="L121" s="178"/>
      <c r="M121" s="129"/>
      <c r="N121" s="178"/>
      <c r="O121" s="178"/>
      <c r="P121" s="129"/>
      <c r="Q121" s="179"/>
      <c r="R121" s="179"/>
      <c r="S121" s="179"/>
      <c r="T121" s="179"/>
      <c r="U121" s="179"/>
      <c r="V121" s="180"/>
      <c r="W121" s="180"/>
      <c r="X121" s="180"/>
      <c r="Y121" s="180"/>
      <c r="Z121" s="180"/>
      <c r="AA121" s="129"/>
    </row>
    <row r="122" spans="1:27" s="181" customFormat="1" ht="21" customHeight="1" x14ac:dyDescent="0.25">
      <c r="A122" s="412"/>
      <c r="B122" s="1"/>
      <c r="C122" s="174" t="str">
        <f>+'RVK SVÆDI'!C99</f>
        <v>Vatnagarðar Súðarvogur (M9)</v>
      </c>
      <c r="D122" s="175">
        <v>5</v>
      </c>
      <c r="E122" s="129" t="str">
        <f>+'RVK SVÆDI'!E99</f>
        <v>Laugardalur</v>
      </c>
      <c r="F122" s="129" t="str">
        <f>+'RVK SVÆDI'!F99</f>
        <v>Laugarnesskóli</v>
      </c>
      <c r="G122" s="112"/>
      <c r="H122" s="112"/>
      <c r="I122" s="112"/>
      <c r="J122" s="6"/>
      <c r="K122" s="129"/>
      <c r="L122" s="178"/>
      <c r="M122" s="129"/>
      <c r="N122" s="178"/>
      <c r="O122" s="178"/>
      <c r="P122" s="129"/>
      <c r="Q122" s="179"/>
      <c r="R122" s="179"/>
      <c r="S122" s="179"/>
      <c r="T122" s="179"/>
      <c r="U122" s="179"/>
      <c r="V122" s="180"/>
      <c r="W122" s="180"/>
      <c r="X122" s="180"/>
      <c r="Y122" s="180"/>
      <c r="Z122" s="180"/>
      <c r="AA122" s="129"/>
    </row>
    <row r="123" spans="1:27" s="7" customFormat="1" ht="21" customHeight="1" x14ac:dyDescent="0.25">
      <c r="A123" s="412"/>
      <c r="B123" s="1"/>
      <c r="C123" s="365" t="str">
        <f>+'RVK SVÆDI'!C100</f>
        <v>Múlar-Suðurlandsbraut (M2c,d,e,f)</v>
      </c>
      <c r="D123" s="8">
        <v>4</v>
      </c>
      <c r="E123" s="6" t="str">
        <f>+'RVK SVÆDI'!E100</f>
        <v>Laugardalur</v>
      </c>
      <c r="F123" s="6" t="str">
        <f>+'RVK SVÆDI'!F100</f>
        <v>Langholtsskóli</v>
      </c>
      <c r="G123" s="112">
        <v>50</v>
      </c>
      <c r="H123" s="112">
        <v>0</v>
      </c>
      <c r="I123" s="112">
        <v>0</v>
      </c>
      <c r="J123" s="6">
        <f t="shared" si="15"/>
        <v>0</v>
      </c>
      <c r="K123" s="6"/>
      <c r="L123" s="112">
        <v>3</v>
      </c>
      <c r="M123" s="6">
        <f t="shared" si="38"/>
        <v>36</v>
      </c>
      <c r="N123" s="112">
        <v>84</v>
      </c>
      <c r="O123" s="112">
        <v>14</v>
      </c>
      <c r="P123" s="6">
        <f t="shared" ref="P123:P126" si="76">+N123+O123+24</f>
        <v>122</v>
      </c>
      <c r="Q123" s="113">
        <f t="shared" ref="Q123:U128" si="77">IFERROR(IF(AND((Q$238-$P123)/$M123&gt;0,(Q$238-$P123)/$M123&lt;1),(Q$238-$P123)/$M123,IF((Q$238-$P123)/$M123&gt;0,1,0)),0)</f>
        <v>0</v>
      </c>
      <c r="R123" s="113">
        <f t="shared" si="77"/>
        <v>0</v>
      </c>
      <c r="S123" s="113">
        <f t="shared" si="77"/>
        <v>0</v>
      </c>
      <c r="T123" s="113">
        <f t="shared" si="77"/>
        <v>0</v>
      </c>
      <c r="U123" s="113">
        <f t="shared" si="77"/>
        <v>0</v>
      </c>
      <c r="V123" s="114"/>
      <c r="W123" s="114"/>
      <c r="X123" s="114">
        <f t="shared" si="2"/>
        <v>0</v>
      </c>
      <c r="Y123" s="114">
        <f t="shared" si="3"/>
        <v>0</v>
      </c>
      <c r="Z123" s="114">
        <f t="shared" si="4"/>
        <v>0</v>
      </c>
      <c r="AA123" s="6"/>
    </row>
    <row r="124" spans="1:27" s="7" customFormat="1" ht="21" customHeight="1" x14ac:dyDescent="0.25">
      <c r="A124" s="412"/>
      <c r="B124" s="1"/>
      <c r="C124" s="365" t="str">
        <f>+'RVK SVÆDI'!C101</f>
        <v>Suðurlandsbraut-Laugardalur (M2g)</v>
      </c>
      <c r="D124" s="8">
        <v>5</v>
      </c>
      <c r="E124" s="6" t="str">
        <f>+'RVK SVÆDI'!E101</f>
        <v>Laugardalur</v>
      </c>
      <c r="F124" s="6" t="str">
        <f>+'RVK SVÆDI'!F101</f>
        <v>Langholtsskóli</v>
      </c>
      <c r="G124" s="112">
        <v>100</v>
      </c>
      <c r="H124" s="112">
        <v>0</v>
      </c>
      <c r="I124" s="112">
        <v>0</v>
      </c>
      <c r="J124" s="6">
        <f t="shared" si="15"/>
        <v>0</v>
      </c>
      <c r="K124" s="6"/>
      <c r="L124" s="112">
        <v>2</v>
      </c>
      <c r="M124" s="6">
        <f t="shared" si="38"/>
        <v>24</v>
      </c>
      <c r="N124" s="112">
        <v>84</v>
      </c>
      <c r="O124" s="112">
        <v>14</v>
      </c>
      <c r="P124" s="6">
        <f t="shared" si="76"/>
        <v>122</v>
      </c>
      <c r="Q124" s="113">
        <f t="shared" si="77"/>
        <v>0</v>
      </c>
      <c r="R124" s="113">
        <f t="shared" si="77"/>
        <v>0</v>
      </c>
      <c r="S124" s="113">
        <f t="shared" si="77"/>
        <v>0</v>
      </c>
      <c r="T124" s="113">
        <f t="shared" si="77"/>
        <v>0</v>
      </c>
      <c r="U124" s="113">
        <f t="shared" si="77"/>
        <v>0</v>
      </c>
      <c r="V124" s="114"/>
      <c r="W124" s="114"/>
      <c r="X124" s="114">
        <f t="shared" si="2"/>
        <v>0</v>
      </c>
      <c r="Y124" s="114">
        <f t="shared" si="3"/>
        <v>0</v>
      </c>
      <c r="Z124" s="114">
        <f t="shared" si="4"/>
        <v>0</v>
      </c>
      <c r="AA124" s="6"/>
    </row>
    <row r="125" spans="1:27" s="7" customFormat="1" ht="21" customHeight="1" x14ac:dyDescent="0.25">
      <c r="A125" s="412"/>
      <c r="B125" s="1"/>
      <c r="C125" s="365" t="str">
        <f>+'RVK SVÆDI'!C102</f>
        <v>Álfheimar 49 (B)</v>
      </c>
      <c r="D125" s="8">
        <v>5</v>
      </c>
      <c r="E125" s="6" t="str">
        <f>+'RVK SVÆDI'!E102</f>
        <v>Laugardalur</v>
      </c>
      <c r="F125" s="6" t="str">
        <f>+'RVK SVÆDI'!F102</f>
        <v>Vogaskóli</v>
      </c>
      <c r="G125" s="112">
        <v>50</v>
      </c>
      <c r="H125" s="112">
        <v>0</v>
      </c>
      <c r="I125" s="112">
        <v>0</v>
      </c>
      <c r="J125" s="6">
        <f t="shared" si="15"/>
        <v>0</v>
      </c>
      <c r="K125" s="6"/>
      <c r="L125" s="112">
        <v>4</v>
      </c>
      <c r="M125" s="6">
        <f t="shared" si="38"/>
        <v>48</v>
      </c>
      <c r="N125" s="112">
        <v>48</v>
      </c>
      <c r="O125" s="112">
        <v>14</v>
      </c>
      <c r="P125" s="6">
        <f t="shared" si="76"/>
        <v>86</v>
      </c>
      <c r="Q125" s="113">
        <f t="shared" si="77"/>
        <v>0</v>
      </c>
      <c r="R125" s="113">
        <f t="shared" si="77"/>
        <v>0</v>
      </c>
      <c r="S125" s="113">
        <f t="shared" si="77"/>
        <v>0</v>
      </c>
      <c r="T125" s="113">
        <f t="shared" si="77"/>
        <v>0</v>
      </c>
      <c r="U125" s="113">
        <f t="shared" si="77"/>
        <v>0</v>
      </c>
      <c r="V125" s="114"/>
      <c r="W125" s="114"/>
      <c r="X125" s="114">
        <f t="shared" si="2"/>
        <v>0</v>
      </c>
      <c r="Y125" s="114">
        <f t="shared" si="3"/>
        <v>0</v>
      </c>
      <c r="Z125" s="114">
        <f t="shared" si="4"/>
        <v>0</v>
      </c>
      <c r="AA125" s="6"/>
    </row>
    <row r="126" spans="1:27" s="7" customFormat="1" ht="21" customHeight="1" x14ac:dyDescent="0.25">
      <c r="A126" s="412"/>
      <c r="B126" s="1"/>
      <c r="C126" s="365" t="str">
        <f>+'RVK SVÆDI'!C103</f>
        <v>Skeifan - Sogamýri</v>
      </c>
      <c r="D126" s="8">
        <v>4</v>
      </c>
      <c r="E126" s="6" t="str">
        <f>+'RVK SVÆDI'!E103</f>
        <v>Laugardalur</v>
      </c>
      <c r="F126" s="6" t="str">
        <f>+'RVK SVÆDI'!F103</f>
        <v>Álftamýrarskóli</v>
      </c>
      <c r="G126" s="112">
        <f>750-G127-G128</f>
        <v>459</v>
      </c>
      <c r="H126" s="112">
        <v>0</v>
      </c>
      <c r="I126" s="112">
        <v>0</v>
      </c>
      <c r="J126" s="6">
        <f t="shared" si="15"/>
        <v>0</v>
      </c>
      <c r="K126" s="6"/>
      <c r="L126" s="112">
        <v>11</v>
      </c>
      <c r="M126" s="6">
        <f t="shared" si="38"/>
        <v>132</v>
      </c>
      <c r="N126" s="112">
        <v>60</v>
      </c>
      <c r="O126" s="112">
        <v>14</v>
      </c>
      <c r="P126" s="6">
        <f t="shared" si="76"/>
        <v>98</v>
      </c>
      <c r="Q126" s="113">
        <f t="shared" si="77"/>
        <v>0</v>
      </c>
      <c r="R126" s="113">
        <f t="shared" si="77"/>
        <v>0</v>
      </c>
      <c r="S126" s="113">
        <f t="shared" si="77"/>
        <v>0</v>
      </c>
      <c r="T126" s="113">
        <f t="shared" si="77"/>
        <v>0</v>
      </c>
      <c r="U126" s="113">
        <f t="shared" si="77"/>
        <v>0</v>
      </c>
      <c r="V126" s="114"/>
      <c r="W126" s="114"/>
      <c r="X126" s="114">
        <f t="shared" si="2"/>
        <v>0</v>
      </c>
      <c r="Y126" s="114">
        <f t="shared" si="3"/>
        <v>0</v>
      </c>
      <c r="Z126" s="114">
        <f t="shared" si="4"/>
        <v>0</v>
      </c>
      <c r="AA126" s="6"/>
    </row>
    <row r="127" spans="1:27" s="7" customFormat="1" ht="21" customHeight="1" x14ac:dyDescent="0.25">
      <c r="A127" s="412"/>
      <c r="B127" s="1"/>
      <c r="C127" s="7" t="str">
        <f>+'RVK SVÆDI'!C104</f>
        <v>Skeifan  - Grensásvegur 1</v>
      </c>
      <c r="D127" s="374">
        <v>1</v>
      </c>
      <c r="E127" s="6" t="str">
        <f>+'RVK SVÆDI'!E104</f>
        <v>Laugardalur</v>
      </c>
      <c r="F127" s="6" t="str">
        <f>+'RVK SVÆDI'!F104</f>
        <v>Álftamýrarskóli</v>
      </c>
      <c r="G127" s="112">
        <v>204</v>
      </c>
      <c r="H127" s="375">
        <v>50</v>
      </c>
      <c r="I127" s="375">
        <v>154</v>
      </c>
      <c r="J127" s="6">
        <f t="shared" si="15"/>
        <v>0</v>
      </c>
      <c r="K127" s="6"/>
      <c r="L127" s="112">
        <v>3</v>
      </c>
      <c r="M127" s="6">
        <f t="shared" si="38"/>
        <v>36</v>
      </c>
      <c r="N127" s="128">
        <v>-8</v>
      </c>
      <c r="O127" s="112">
        <v>0</v>
      </c>
      <c r="P127" s="6">
        <f t="shared" ref="P127" si="78">+N127+O127+18</f>
        <v>10</v>
      </c>
      <c r="Q127" s="113">
        <f t="shared" si="77"/>
        <v>0</v>
      </c>
      <c r="R127" s="113">
        <f t="shared" si="77"/>
        <v>0.22222222222222221</v>
      </c>
      <c r="S127" s="113">
        <f t="shared" si="77"/>
        <v>0.55555555555555558</v>
      </c>
      <c r="T127" s="113">
        <f t="shared" si="77"/>
        <v>0.88888888888888884</v>
      </c>
      <c r="U127" s="113">
        <f t="shared" si="77"/>
        <v>1</v>
      </c>
      <c r="V127" s="114"/>
      <c r="W127" s="114">
        <v>50</v>
      </c>
      <c r="X127" s="114">
        <f t="shared" si="2"/>
        <v>35.555555555555557</v>
      </c>
      <c r="Y127" s="114">
        <f t="shared" si="3"/>
        <v>51.333333333333329</v>
      </c>
      <c r="Z127" s="114">
        <f t="shared" si="4"/>
        <v>17.111111111111114</v>
      </c>
      <c r="AA127" s="6"/>
    </row>
    <row r="128" spans="1:27" s="7" customFormat="1" ht="21" customHeight="1" x14ac:dyDescent="0.25">
      <c r="A128" s="365"/>
      <c r="B128" s="1"/>
      <c r="C128" s="7" t="str">
        <f>+'RVK SVÆDI'!C105</f>
        <v>Skeifan - Metróreitur</v>
      </c>
      <c r="D128" s="374">
        <v>4</v>
      </c>
      <c r="E128" s="6" t="str">
        <f>+'RVK SVÆDI'!E105</f>
        <v>Laugardalur</v>
      </c>
      <c r="F128" s="6" t="str">
        <f>+'RVK SVÆDI'!F105</f>
        <v>Álftamýrarskóli</v>
      </c>
      <c r="G128" s="112">
        <v>87</v>
      </c>
      <c r="H128" s="112">
        <v>0</v>
      </c>
      <c r="I128" s="112">
        <v>0</v>
      </c>
      <c r="J128" s="6">
        <f t="shared" si="15"/>
        <v>0</v>
      </c>
      <c r="K128" s="6"/>
      <c r="L128" s="112">
        <v>0.5</v>
      </c>
      <c r="M128" s="6">
        <f t="shared" si="38"/>
        <v>6</v>
      </c>
      <c r="N128" s="128">
        <v>48</v>
      </c>
      <c r="O128" s="112">
        <v>14</v>
      </c>
      <c r="P128" s="6">
        <f t="shared" ref="P128" si="79">+N128+O128+18</f>
        <v>80</v>
      </c>
      <c r="Q128" s="113">
        <f t="shared" si="77"/>
        <v>0</v>
      </c>
      <c r="R128" s="113">
        <f t="shared" si="77"/>
        <v>0</v>
      </c>
      <c r="S128" s="113">
        <f t="shared" si="77"/>
        <v>0</v>
      </c>
      <c r="T128" s="113">
        <f t="shared" si="77"/>
        <v>0</v>
      </c>
      <c r="U128" s="113">
        <f t="shared" si="77"/>
        <v>0</v>
      </c>
      <c r="V128" s="114"/>
      <c r="W128" s="114"/>
      <c r="X128" s="114">
        <f t="shared" ref="X128" si="80">S128*($G128-$H128)-SUM(V128:W128)</f>
        <v>0</v>
      </c>
      <c r="Y128" s="114">
        <f t="shared" ref="Y128" si="81">T128*($G128-$H128)-SUM(V128:X128)</f>
        <v>0</v>
      </c>
      <c r="Z128" s="114">
        <f t="shared" ref="Z128" si="82">U128*($G128-$H128)-SUM(V128:Y128)</f>
        <v>0</v>
      </c>
      <c r="AA128" s="6"/>
    </row>
    <row r="129" spans="1:16382" s="7" customFormat="1" ht="21" customHeight="1" x14ac:dyDescent="0.25">
      <c r="A129" s="412"/>
      <c r="B129" s="1"/>
      <c r="C129" s="7" t="str">
        <f>+'RVK SVÆDI'!C106</f>
        <v>Vogabyggð I</v>
      </c>
      <c r="D129" s="8">
        <v>1</v>
      </c>
      <c r="E129" s="6" t="str">
        <f>+'RVK SVÆDI'!E106</f>
        <v>Laugardalur</v>
      </c>
      <c r="F129" s="6" t="str">
        <f>+'RVK SVÆDI'!F106</f>
        <v>Langholtsskóli</v>
      </c>
      <c r="G129" s="375">
        <f>347+51</f>
        <v>398</v>
      </c>
      <c r="H129" s="375">
        <v>74</v>
      </c>
      <c r="I129" s="375">
        <v>71</v>
      </c>
      <c r="J129" s="6">
        <f t="shared" si="15"/>
        <v>253</v>
      </c>
      <c r="K129" s="6"/>
      <c r="L129" s="110" t="s">
        <v>306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2"/>
      <c r="W129" s="112">
        <v>74</v>
      </c>
      <c r="X129" s="375">
        <v>71</v>
      </c>
      <c r="Y129" s="375">
        <v>68</v>
      </c>
      <c r="Z129" s="375">
        <f>71</f>
        <v>71</v>
      </c>
      <c r="AA129" s="6"/>
    </row>
    <row r="130" spans="1:16382" s="7" customFormat="1" ht="21" customHeight="1" x14ac:dyDescent="0.25">
      <c r="A130" s="412"/>
      <c r="B130" s="1"/>
      <c r="C130" s="7" t="str">
        <f>+'RVK SVÆDI'!C107</f>
        <v>Vogabyggð II</v>
      </c>
      <c r="D130" s="8">
        <v>1</v>
      </c>
      <c r="E130" s="6" t="str">
        <f>+'RVK SVÆDI'!E107</f>
        <v>Laugardalur</v>
      </c>
      <c r="F130" s="6" t="str">
        <f>+'RVK SVÆDI'!F107</f>
        <v>Vogaskóli</v>
      </c>
      <c r="G130" s="112">
        <v>617</v>
      </c>
      <c r="H130" s="375">
        <f>73+40+47+31</f>
        <v>191</v>
      </c>
      <c r="I130" s="375">
        <f>84+91+63+46</f>
        <v>284</v>
      </c>
      <c r="J130" s="6">
        <f>+IF(D130=1,(G130-H130-I130),IF(D130=2,(G130-H130-I130),0))</f>
        <v>142</v>
      </c>
      <c r="K130" s="6"/>
      <c r="L130" s="110" t="s">
        <v>306</v>
      </c>
      <c r="M130" s="111"/>
      <c r="N130" s="111"/>
      <c r="O130" s="111"/>
      <c r="P130" s="111"/>
      <c r="Q130" s="111"/>
      <c r="R130" s="111"/>
      <c r="S130" s="111"/>
      <c r="T130" s="111"/>
      <c r="U130" s="111"/>
      <c r="V130" s="112"/>
      <c r="W130" s="112">
        <v>191</v>
      </c>
      <c r="X130" s="112">
        <f>84+46+63</f>
        <v>193</v>
      </c>
      <c r="Y130" s="112">
        <v>91</v>
      </c>
      <c r="Z130" s="375">
        <v>0</v>
      </c>
      <c r="AA130" s="6"/>
    </row>
    <row r="131" spans="1:16382" s="7" customFormat="1" ht="21" customHeight="1" x14ac:dyDescent="0.25">
      <c r="A131" s="412"/>
      <c r="B131" s="1"/>
      <c r="C131" s="7" t="str">
        <f>+'RVK SVÆDI'!C108</f>
        <v>Vogabyggð III</v>
      </c>
      <c r="D131" s="8">
        <v>3</v>
      </c>
      <c r="E131" s="6" t="str">
        <f>+'RVK SVÆDI'!E108</f>
        <v>Laugardalur</v>
      </c>
      <c r="F131" s="6" t="str">
        <f>+'RVK SVÆDI'!F108</f>
        <v>Vogaskóli</v>
      </c>
      <c r="G131" s="112">
        <v>300</v>
      </c>
      <c r="H131" s="112">
        <v>0</v>
      </c>
      <c r="I131" s="112">
        <v>0</v>
      </c>
      <c r="J131" s="6">
        <f t="shared" si="15"/>
        <v>0</v>
      </c>
      <c r="K131" s="6"/>
      <c r="L131" s="112">
        <v>6</v>
      </c>
      <c r="M131" s="6">
        <f t="shared" si="38"/>
        <v>72</v>
      </c>
      <c r="N131" s="112">
        <v>36</v>
      </c>
      <c r="O131" s="112">
        <v>14</v>
      </c>
      <c r="P131" s="6">
        <f t="shared" ref="P131:P197" si="83">+N131+O131+18</f>
        <v>68</v>
      </c>
      <c r="Q131" s="113">
        <f t="shared" ref="Q131:U133" si="84">IFERROR(IF(AND((Q$238-$P131)/$M131&gt;0,(Q$238-$P131)/$M131&lt;1),(Q$238-$P131)/$M131,IF((Q$238-$P131)/$M131&gt;0,1,0)),0)</f>
        <v>0</v>
      </c>
      <c r="R131" s="113">
        <f t="shared" si="84"/>
        <v>0</v>
      </c>
      <c r="S131" s="113">
        <f t="shared" si="84"/>
        <v>0</v>
      </c>
      <c r="T131" s="113">
        <f t="shared" si="84"/>
        <v>0</v>
      </c>
      <c r="U131" s="113">
        <f t="shared" si="84"/>
        <v>0</v>
      </c>
      <c r="V131" s="114"/>
      <c r="W131" s="114"/>
      <c r="X131" s="114">
        <f t="shared" ref="X131:X197" si="85">S131*($G131-$H131)-SUM(V131:W131)</f>
        <v>0</v>
      </c>
      <c r="Y131" s="114">
        <f t="shared" ref="Y131:Y197" si="86">T131*($G131-$H131)-SUM(V131:X131)</f>
        <v>0</v>
      </c>
      <c r="Z131" s="114">
        <f t="shared" ref="Z131:Z197" si="87">U131*($G131-$H131)-SUM(V131:Y131)</f>
        <v>0</v>
      </c>
      <c r="AA131" s="6"/>
    </row>
    <row r="132" spans="1:16382" s="7" customFormat="1" ht="21" customHeight="1" x14ac:dyDescent="0.25">
      <c r="A132" s="412"/>
      <c r="B132" s="1"/>
      <c r="C132" s="7" t="str">
        <f>+'RVK SVÆDI'!C109</f>
        <v>Vogabyggð IV ásamt Sæbrautarstokk</v>
      </c>
      <c r="D132" s="8">
        <v>4</v>
      </c>
      <c r="E132" s="6" t="str">
        <f>+'RVK SVÆDI'!E109</f>
        <v>Laugardalur</v>
      </c>
      <c r="F132" s="6" t="str">
        <f>+'RVK SVÆDI'!F109</f>
        <v>Vogaskóli</v>
      </c>
      <c r="G132" s="112">
        <v>300</v>
      </c>
      <c r="H132" s="112">
        <v>0</v>
      </c>
      <c r="I132" s="112">
        <v>0</v>
      </c>
      <c r="J132" s="6">
        <f t="shared" si="15"/>
        <v>0</v>
      </c>
      <c r="K132" s="6"/>
      <c r="L132" s="112">
        <v>6</v>
      </c>
      <c r="M132" s="6">
        <f t="shared" si="38"/>
        <v>72</v>
      </c>
      <c r="N132" s="112">
        <v>36</v>
      </c>
      <c r="O132" s="112">
        <v>14</v>
      </c>
      <c r="P132" s="6">
        <f t="shared" si="83"/>
        <v>68</v>
      </c>
      <c r="Q132" s="113">
        <f t="shared" si="84"/>
        <v>0</v>
      </c>
      <c r="R132" s="113">
        <f t="shared" si="84"/>
        <v>0</v>
      </c>
      <c r="S132" s="113">
        <f t="shared" si="84"/>
        <v>0</v>
      </c>
      <c r="T132" s="113">
        <f t="shared" si="84"/>
        <v>0</v>
      </c>
      <c r="U132" s="113">
        <f t="shared" si="84"/>
        <v>0</v>
      </c>
      <c r="V132" s="114"/>
      <c r="W132" s="114"/>
      <c r="X132" s="114">
        <f t="shared" si="85"/>
        <v>0</v>
      </c>
      <c r="Y132" s="114">
        <f t="shared" si="86"/>
        <v>0</v>
      </c>
      <c r="Z132" s="114">
        <f t="shared" si="87"/>
        <v>0</v>
      </c>
      <c r="AA132" s="6"/>
    </row>
    <row r="133" spans="1:16382" s="7" customFormat="1" ht="21" customHeight="1" x14ac:dyDescent="0.25">
      <c r="A133" s="412"/>
      <c r="B133" s="1"/>
      <c r="C133" s="365" t="str">
        <f>+'RVK SVÆDI'!C110</f>
        <v>Hólmasund-Þróttaraheimili</v>
      </c>
      <c r="D133" s="8">
        <v>5</v>
      </c>
      <c r="E133" s="6" t="str">
        <f>+'RVK SVÆDI'!E110</f>
        <v>Laugardalur</v>
      </c>
      <c r="F133" s="6" t="str">
        <f>+'RVK SVÆDI'!F110</f>
        <v>Langholtsskóli</v>
      </c>
      <c r="G133" s="112">
        <v>50</v>
      </c>
      <c r="H133" s="112">
        <v>0</v>
      </c>
      <c r="I133" s="112">
        <v>0</v>
      </c>
      <c r="J133" s="6">
        <f t="shared" si="15"/>
        <v>0</v>
      </c>
      <c r="K133" s="6"/>
      <c r="L133" s="112">
        <v>2</v>
      </c>
      <c r="M133" s="6">
        <f t="shared" si="38"/>
        <v>24</v>
      </c>
      <c r="N133" s="112">
        <v>84</v>
      </c>
      <c r="O133" s="112">
        <v>14</v>
      </c>
      <c r="P133" s="6">
        <f t="shared" si="83"/>
        <v>116</v>
      </c>
      <c r="Q133" s="113">
        <f t="shared" si="84"/>
        <v>0</v>
      </c>
      <c r="R133" s="113">
        <f t="shared" si="84"/>
        <v>0</v>
      </c>
      <c r="S133" s="113">
        <f t="shared" si="84"/>
        <v>0</v>
      </c>
      <c r="T133" s="113">
        <f t="shared" si="84"/>
        <v>0</v>
      </c>
      <c r="U133" s="113">
        <f t="shared" si="84"/>
        <v>0</v>
      </c>
      <c r="V133" s="114"/>
      <c r="W133" s="114"/>
      <c r="X133" s="114">
        <f t="shared" si="85"/>
        <v>0</v>
      </c>
      <c r="Y133" s="114">
        <f t="shared" si="86"/>
        <v>0</v>
      </c>
      <c r="Z133" s="114">
        <f t="shared" si="87"/>
        <v>0</v>
      </c>
      <c r="AA133" s="6"/>
    </row>
    <row r="134" spans="1:16382" s="181" customFormat="1" ht="21" customHeight="1" x14ac:dyDescent="0.25">
      <c r="A134" s="412"/>
      <c r="B134" s="1"/>
      <c r="C134" s="174" t="str">
        <f>+'RVK SVÆDI'!C111</f>
        <v>Sundahöfn H4</v>
      </c>
      <c r="D134" s="175">
        <v>1</v>
      </c>
      <c r="E134" s="129" t="str">
        <f>+'RVK SVÆDI'!E111</f>
        <v>Laugardalur</v>
      </c>
      <c r="F134" s="129" t="str">
        <f>+'RVK SVÆDI'!F111</f>
        <v>Langholtsskóli</v>
      </c>
      <c r="G134" s="176"/>
      <c r="H134" s="176"/>
      <c r="I134" s="176"/>
      <c r="J134" s="177"/>
      <c r="K134" s="129"/>
      <c r="L134" s="178"/>
      <c r="M134" s="129"/>
      <c r="N134" s="178"/>
      <c r="O134" s="178"/>
      <c r="P134" s="129"/>
      <c r="Q134" s="179"/>
      <c r="R134" s="179"/>
      <c r="S134" s="179"/>
      <c r="T134" s="179"/>
      <c r="U134" s="179"/>
      <c r="V134" s="180"/>
      <c r="W134" s="180"/>
      <c r="X134" s="180"/>
      <c r="Y134" s="180"/>
      <c r="Z134" s="180"/>
      <c r="AA134" s="129"/>
    </row>
    <row r="135" spans="1:16382" s="181" customFormat="1" ht="21" customHeight="1" x14ac:dyDescent="0.25">
      <c r="A135" s="412"/>
      <c r="B135" s="1"/>
      <c r="C135" s="174" t="str">
        <f>+'RVK SVÆDI'!C112</f>
        <v>Sundahöfn H4 þróun</v>
      </c>
      <c r="D135" s="175">
        <v>4</v>
      </c>
      <c r="E135" s="129" t="str">
        <f>+'RVK SVÆDI'!E112</f>
        <v>Laugardalur</v>
      </c>
      <c r="F135" s="129" t="str">
        <f>+'RVK SVÆDI'!F112</f>
        <v>Langholtsskóli</v>
      </c>
      <c r="G135" s="176"/>
      <c r="H135" s="176"/>
      <c r="I135" s="176"/>
      <c r="J135" s="177"/>
      <c r="K135" s="129"/>
      <c r="L135" s="178"/>
      <c r="M135" s="129"/>
      <c r="N135" s="178"/>
      <c r="O135" s="178"/>
      <c r="P135" s="129"/>
      <c r="Q135" s="179"/>
      <c r="R135" s="179"/>
      <c r="S135" s="179"/>
      <c r="T135" s="179"/>
      <c r="U135" s="179"/>
      <c r="V135" s="180"/>
      <c r="W135" s="180"/>
      <c r="X135" s="180"/>
      <c r="Y135" s="180"/>
      <c r="Z135" s="180"/>
      <c r="AA135" s="129"/>
    </row>
    <row r="136" spans="1:16382" s="7" customFormat="1" ht="21" customHeight="1" x14ac:dyDescent="0.25">
      <c r="A136" s="412"/>
      <c r="B136" s="1"/>
      <c r="C136" s="365" t="str">
        <f>+'RVK SVÆDI'!C113</f>
        <v>Kringlan rammaskipulag f.u. 1. áfanga</v>
      </c>
      <c r="D136" s="8">
        <v>4</v>
      </c>
      <c r="E136" s="6" t="str">
        <f>+'RVK SVÆDI'!E113</f>
        <v>Háaleiti-Bústaðir</v>
      </c>
      <c r="F136" s="6" t="str">
        <f>+'RVK SVÆDI'!F113</f>
        <v>Hvassaleitisskóli</v>
      </c>
      <c r="G136" s="112">
        <f>1000-G137</f>
        <v>650</v>
      </c>
      <c r="H136" s="112">
        <v>0</v>
      </c>
      <c r="I136" s="112">
        <v>0</v>
      </c>
      <c r="J136" s="6">
        <f t="shared" si="15"/>
        <v>0</v>
      </c>
      <c r="K136" s="6"/>
      <c r="L136" s="375">
        <v>8</v>
      </c>
      <c r="M136" s="6">
        <f t="shared" si="38"/>
        <v>96</v>
      </c>
      <c r="N136" s="375">
        <v>60</v>
      </c>
      <c r="O136" s="112">
        <v>16</v>
      </c>
      <c r="P136" s="6">
        <f t="shared" si="83"/>
        <v>94</v>
      </c>
      <c r="Q136" s="113">
        <f t="shared" ref="Q136:U137" si="88">IFERROR(IF(AND((Q$238-$P136)/$M136&gt;0,(Q$238-$P136)/$M136&lt;1),(Q$238-$P136)/$M136,IF((Q$238-$P136)/$M136&gt;0,1,0)),0)</f>
        <v>0</v>
      </c>
      <c r="R136" s="113">
        <f t="shared" si="88"/>
        <v>0</v>
      </c>
      <c r="S136" s="113">
        <f t="shared" si="88"/>
        <v>0</v>
      </c>
      <c r="T136" s="113">
        <f t="shared" si="88"/>
        <v>0</v>
      </c>
      <c r="U136" s="113">
        <f t="shared" si="88"/>
        <v>0</v>
      </c>
      <c r="V136" s="114"/>
      <c r="W136" s="114"/>
      <c r="X136" s="114">
        <f t="shared" si="85"/>
        <v>0</v>
      </c>
      <c r="Y136" s="114">
        <f t="shared" si="86"/>
        <v>0</v>
      </c>
      <c r="Z136" s="114">
        <f t="shared" si="87"/>
        <v>0</v>
      </c>
      <c r="AA136" s="6"/>
    </row>
    <row r="137" spans="1:16382" s="7" customFormat="1" ht="21" customHeight="1" x14ac:dyDescent="0.25">
      <c r="A137" s="412"/>
      <c r="B137" s="1"/>
      <c r="C137" s="7" t="str">
        <f>+'RVK SVÆDI'!C114</f>
        <v>Kringlan 1 .áfangi deiliskipulags</v>
      </c>
      <c r="D137" s="8">
        <v>3</v>
      </c>
      <c r="E137" s="6" t="str">
        <f>+'RVK SVÆDI'!E114</f>
        <v>Háaleiti-Bústaðir</v>
      </c>
      <c r="F137" s="6" t="str">
        <f>+'RVK SVÆDI'!F114</f>
        <v>Hvassaleitisskóli</v>
      </c>
      <c r="G137" s="112">
        <v>350</v>
      </c>
      <c r="H137" s="112">
        <v>0</v>
      </c>
      <c r="I137" s="112">
        <v>0</v>
      </c>
      <c r="J137" s="6">
        <f t="shared" ref="J137:J218" si="89">+IF(D137=1,(G137-H137-I137),IF(D137=2,(G137-H137-I137),0))</f>
        <v>0</v>
      </c>
      <c r="K137" s="6"/>
      <c r="L137" s="112">
        <v>3</v>
      </c>
      <c r="M137" s="6">
        <f t="shared" si="38"/>
        <v>36</v>
      </c>
      <c r="N137" s="375">
        <v>24</v>
      </c>
      <c r="O137" s="112">
        <v>16</v>
      </c>
      <c r="P137" s="6">
        <f t="shared" si="83"/>
        <v>58</v>
      </c>
      <c r="Q137" s="113">
        <f t="shared" si="88"/>
        <v>0</v>
      </c>
      <c r="R137" s="113">
        <f t="shared" si="88"/>
        <v>0</v>
      </c>
      <c r="S137" s="113">
        <f t="shared" si="88"/>
        <v>0</v>
      </c>
      <c r="T137" s="113">
        <f t="shared" si="88"/>
        <v>0</v>
      </c>
      <c r="U137" s="113">
        <f t="shared" si="88"/>
        <v>0</v>
      </c>
      <c r="V137" s="114"/>
      <c r="W137" s="114"/>
      <c r="X137" s="114">
        <f t="shared" si="85"/>
        <v>0</v>
      </c>
      <c r="Y137" s="114">
        <f t="shared" si="86"/>
        <v>0</v>
      </c>
      <c r="Z137" s="114">
        <f t="shared" si="87"/>
        <v>0</v>
      </c>
      <c r="AA137" s="6"/>
    </row>
    <row r="138" spans="1:16382" s="181" customFormat="1" ht="21" customHeight="1" x14ac:dyDescent="0.25">
      <c r="A138" s="412"/>
      <c r="B138" s="1"/>
      <c r="C138" s="174" t="str">
        <f>+'RVK SVÆDI'!C115</f>
        <v>Sléttuvegur</v>
      </c>
      <c r="D138" s="175">
        <v>1</v>
      </c>
      <c r="E138" s="129" t="str">
        <f>+'RVK SVÆDI'!E115</f>
        <v>Háaleiti-Bústaðir</v>
      </c>
      <c r="F138" s="129" t="str">
        <f>+'RVK SVÆDI'!F115</f>
        <v>Fossvogsskóli</v>
      </c>
      <c r="G138" s="176">
        <v>330</v>
      </c>
      <c r="H138" s="176">
        <v>330</v>
      </c>
      <c r="I138" s="176">
        <f t="shared" ref="I138:I144" si="90">+G138-H138</f>
        <v>0</v>
      </c>
      <c r="J138" s="177">
        <f t="shared" si="89"/>
        <v>0</v>
      </c>
      <c r="K138" s="129"/>
      <c r="L138" s="178"/>
      <c r="M138" s="129"/>
      <c r="N138" s="178"/>
      <c r="O138" s="178"/>
      <c r="P138" s="129"/>
      <c r="Q138" s="179"/>
      <c r="R138" s="179"/>
      <c r="S138" s="179"/>
      <c r="T138" s="179"/>
      <c r="U138" s="179"/>
      <c r="V138" s="114"/>
      <c r="W138" s="114"/>
      <c r="X138" s="180"/>
      <c r="Y138" s="180"/>
      <c r="Z138" s="180"/>
      <c r="AA138" s="129"/>
    </row>
    <row r="139" spans="1:16382" s="181" customFormat="1" ht="21" customHeight="1" x14ac:dyDescent="0.25">
      <c r="A139" s="412"/>
      <c r="B139" s="1"/>
      <c r="C139" s="174" t="str">
        <f>+'RVK SVÆDI'!C116</f>
        <v>Sléttuvegur-eldri borgarar ofl</v>
      </c>
      <c r="D139" s="175">
        <v>1</v>
      </c>
      <c r="E139" s="129" t="str">
        <f>+'RVK SVÆDI'!E116</f>
        <v>Háaleiti-Bústaðir</v>
      </c>
      <c r="F139" s="129" t="str">
        <f>+'RVK SVÆDI'!F116</f>
        <v>Fossvogsskóli</v>
      </c>
      <c r="G139" s="176">
        <v>141</v>
      </c>
      <c r="H139" s="176">
        <v>141</v>
      </c>
      <c r="I139" s="176">
        <f t="shared" si="90"/>
        <v>0</v>
      </c>
      <c r="J139" s="177">
        <f t="shared" si="89"/>
        <v>0</v>
      </c>
      <c r="K139" s="129"/>
      <c r="L139" s="178"/>
      <c r="M139" s="129"/>
      <c r="N139" s="178"/>
      <c r="O139" s="178"/>
      <c r="P139" s="129"/>
      <c r="Q139" s="179"/>
      <c r="R139" s="179"/>
      <c r="S139" s="179"/>
      <c r="T139" s="179"/>
      <c r="U139" s="179"/>
      <c r="V139" s="114"/>
      <c r="W139" s="114"/>
      <c r="X139" s="180"/>
      <c r="Y139" s="180"/>
      <c r="Z139" s="180"/>
      <c r="AA139" s="129"/>
    </row>
    <row r="140" spans="1:16382" s="181" customFormat="1" ht="21" customHeight="1" x14ac:dyDescent="0.25">
      <c r="A140" s="412"/>
      <c r="B140" s="1"/>
      <c r="C140" s="174" t="str">
        <f>+'RVK SVÆDI'!C117</f>
        <v>Sléttuvegur 25-27 -hjúkrunarheimili</v>
      </c>
      <c r="D140" s="175">
        <v>1</v>
      </c>
      <c r="E140" s="129" t="str">
        <f>+'RVK SVÆDI'!E117</f>
        <v>Háaleiti-Bústaðir</v>
      </c>
      <c r="F140" s="176" t="str">
        <f>+'RVK SVÆDI'!F117</f>
        <v>Fossvogsskóli</v>
      </c>
      <c r="G140" s="176">
        <v>99</v>
      </c>
      <c r="H140" s="176">
        <v>99</v>
      </c>
      <c r="I140" s="177">
        <v>0</v>
      </c>
      <c r="J140" s="129">
        <f t="shared" si="89"/>
        <v>0</v>
      </c>
      <c r="K140" s="178"/>
      <c r="L140" s="129"/>
      <c r="M140" s="178"/>
      <c r="N140" s="178"/>
      <c r="O140" s="129"/>
      <c r="P140" s="179"/>
      <c r="Q140" s="179"/>
      <c r="R140" s="179"/>
      <c r="S140" s="179"/>
      <c r="T140" s="179"/>
      <c r="U140" s="114"/>
      <c r="V140" s="114"/>
      <c r="W140" s="180"/>
      <c r="X140" s="180"/>
      <c r="Y140" s="180"/>
      <c r="Z140" s="129"/>
    </row>
    <row r="141" spans="1:16382" s="7" customFormat="1" ht="21" customHeight="1" x14ac:dyDescent="0.25">
      <c r="A141" s="365"/>
      <c r="B141" s="1"/>
      <c r="C141" s="7" t="str">
        <f>+'RVK SVÆDI'!C118</f>
        <v>Sléttuvegur-Skógavegur 4 og 10</v>
      </c>
      <c r="D141" s="374">
        <v>2</v>
      </c>
      <c r="E141" s="6" t="str">
        <f>+'RVK SVÆDI'!E118</f>
        <v>Háaleiti-Bústaðir</v>
      </c>
      <c r="F141" s="6" t="str">
        <f>+'RVK SVÆDI'!F118</f>
        <v>Fossvogsskóli</v>
      </c>
      <c r="G141" s="112">
        <v>87</v>
      </c>
      <c r="H141" s="112">
        <v>0</v>
      </c>
      <c r="I141" s="112">
        <v>0</v>
      </c>
      <c r="J141" s="6">
        <f t="shared" si="89"/>
        <v>87</v>
      </c>
      <c r="K141" s="6"/>
      <c r="L141" s="112">
        <v>1</v>
      </c>
      <c r="M141" s="6">
        <f t="shared" ref="M141" si="91">+L141*12</f>
        <v>12</v>
      </c>
      <c r="N141" s="376">
        <v>24</v>
      </c>
      <c r="O141" s="112">
        <v>14</v>
      </c>
      <c r="P141" s="6">
        <f t="shared" ref="P141" si="92">+N141+O141+18</f>
        <v>56</v>
      </c>
      <c r="Q141" s="113">
        <f t="shared" ref="Q141:U141" si="93">IFERROR(IF(AND((Q$238-$P141)/$M141&gt;0,(Q$238-$P141)/$M141&lt;1),(Q$238-$P141)/$M141,IF((Q$238-$P141)/$M141&gt;0,1,0)),0)</f>
        <v>0</v>
      </c>
      <c r="R141" s="113">
        <f t="shared" si="93"/>
        <v>0</v>
      </c>
      <c r="S141" s="113">
        <f t="shared" si="93"/>
        <v>0</v>
      </c>
      <c r="T141" s="113">
        <f t="shared" si="93"/>
        <v>0</v>
      </c>
      <c r="U141" s="113">
        <f t="shared" si="93"/>
        <v>0</v>
      </c>
      <c r="V141" s="114"/>
      <c r="W141" s="114"/>
      <c r="X141" s="114">
        <f t="shared" ref="X141" si="94">S141*($G141-$H141)-SUM(V141:W141)</f>
        <v>0</v>
      </c>
      <c r="Y141" s="114">
        <f t="shared" ref="Y141" si="95">T141*($G141-$H141)-SUM(V141:X141)</f>
        <v>0</v>
      </c>
      <c r="Z141" s="114">
        <f t="shared" ref="Z141" si="96">U141*($G141-$H141)-SUM(V141:Y141)</f>
        <v>0</v>
      </c>
      <c r="AA141" s="6"/>
    </row>
    <row r="142" spans="1:16382" s="7" customFormat="1" ht="21" customHeight="1" x14ac:dyDescent="0.25">
      <c r="A142" s="412"/>
      <c r="B142" s="1"/>
      <c r="C142" s="7" t="str">
        <f>+'RVK SVÆDI'!C119</f>
        <v>Sléttuvegur-Skógavegur 6-8</v>
      </c>
      <c r="D142" s="8">
        <v>1</v>
      </c>
      <c r="E142" s="6" t="str">
        <f>+'RVK SVÆDI'!E119</f>
        <v>Háaleiti-Bústaðir</v>
      </c>
      <c r="F142" s="6" t="str">
        <f>+'RVK SVÆDI'!F119</f>
        <v>Fossvogsskóli</v>
      </c>
      <c r="G142" s="112">
        <v>69</v>
      </c>
      <c r="H142" s="112">
        <v>69</v>
      </c>
      <c r="I142" s="112">
        <v>0</v>
      </c>
      <c r="J142" s="6">
        <f t="shared" si="89"/>
        <v>0</v>
      </c>
      <c r="K142" s="6"/>
      <c r="L142" s="110" t="s">
        <v>306</v>
      </c>
      <c r="M142" s="111"/>
      <c r="N142" s="111"/>
      <c r="O142" s="111"/>
      <c r="P142" s="111"/>
      <c r="Q142" s="111"/>
      <c r="R142" s="111"/>
      <c r="S142" s="111"/>
      <c r="T142" s="111"/>
      <c r="U142" s="111"/>
      <c r="V142" s="112"/>
      <c r="W142" s="112"/>
      <c r="X142" s="112">
        <v>30</v>
      </c>
      <c r="Y142" s="112">
        <v>0</v>
      </c>
      <c r="Z142" s="112">
        <v>0</v>
      </c>
      <c r="AA142" s="6"/>
    </row>
    <row r="143" spans="1:16382" s="7" customFormat="1" ht="21" customHeight="1" x14ac:dyDescent="0.25">
      <c r="A143" s="412"/>
      <c r="B143" s="1"/>
      <c r="C143" s="174" t="str">
        <f>+'RVK SVÆDI'!C120</f>
        <v>Sléttuvegur-Árland 10</v>
      </c>
      <c r="D143" s="175">
        <v>1</v>
      </c>
      <c r="E143" s="129" t="str">
        <f>+'RVK SVÆDI'!E120</f>
        <v>Háaleiti-Bústaðir</v>
      </c>
      <c r="F143" s="176" t="str">
        <f>+'RVK SVÆDI'!F120</f>
        <v>Fossvogsskóli</v>
      </c>
      <c r="G143" s="176">
        <v>12</v>
      </c>
      <c r="H143" s="177">
        <v>12</v>
      </c>
      <c r="I143" s="129">
        <v>0</v>
      </c>
      <c r="J143" s="178">
        <f t="shared" si="89"/>
        <v>0</v>
      </c>
      <c r="K143" s="129"/>
      <c r="L143" s="178"/>
      <c r="M143" s="178"/>
      <c r="N143" s="129"/>
      <c r="O143" s="179"/>
      <c r="P143" s="179"/>
      <c r="Q143" s="179"/>
      <c r="R143" s="179"/>
      <c r="S143" s="179"/>
      <c r="T143" s="114"/>
      <c r="U143" s="114"/>
      <c r="V143" s="180"/>
      <c r="W143" s="180"/>
      <c r="X143" s="180"/>
      <c r="Y143" s="129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  <c r="BA143" s="181"/>
      <c r="BB143" s="181"/>
      <c r="BC143" s="181"/>
      <c r="BD143" s="181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  <c r="CH143" s="181"/>
      <c r="CI143" s="181"/>
      <c r="CJ143" s="181"/>
      <c r="CK143" s="181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81"/>
      <c r="CY143" s="181"/>
      <c r="CZ143" s="181"/>
      <c r="DA143" s="181"/>
      <c r="DB143" s="181"/>
      <c r="DC143" s="181"/>
      <c r="DD143" s="181"/>
      <c r="DE143" s="181"/>
      <c r="DF143" s="181"/>
      <c r="DG143" s="181"/>
      <c r="DH143" s="181"/>
      <c r="DI143" s="181"/>
      <c r="DJ143" s="181"/>
      <c r="DK143" s="181"/>
      <c r="DL143" s="181"/>
      <c r="DM143" s="181"/>
      <c r="DN143" s="181"/>
      <c r="DO143" s="181"/>
      <c r="DP143" s="181"/>
      <c r="DQ143" s="181"/>
      <c r="DR143" s="181"/>
      <c r="DS143" s="181"/>
      <c r="DT143" s="181"/>
      <c r="DU143" s="181"/>
      <c r="DV143" s="181"/>
      <c r="DW143" s="181"/>
      <c r="DX143" s="181"/>
      <c r="DY143" s="181"/>
      <c r="DZ143" s="181"/>
      <c r="EA143" s="181"/>
      <c r="EB143" s="181"/>
      <c r="EC143" s="181"/>
      <c r="ED143" s="181"/>
      <c r="EE143" s="181"/>
      <c r="EF143" s="181"/>
      <c r="EG143" s="181"/>
      <c r="EH143" s="181"/>
      <c r="EI143" s="181"/>
      <c r="EJ143" s="181"/>
      <c r="EK143" s="181"/>
      <c r="EL143" s="181"/>
      <c r="EM143" s="181"/>
      <c r="EN143" s="181"/>
      <c r="EO143" s="181"/>
      <c r="EP143" s="181"/>
      <c r="EQ143" s="181"/>
      <c r="ER143" s="181"/>
      <c r="ES143" s="181"/>
      <c r="ET143" s="181"/>
      <c r="EU143" s="181"/>
      <c r="EV143" s="181"/>
      <c r="EW143" s="181"/>
      <c r="EX143" s="181"/>
      <c r="EY143" s="181"/>
      <c r="EZ143" s="181"/>
      <c r="FA143" s="181"/>
      <c r="FB143" s="181"/>
      <c r="FC143" s="181"/>
      <c r="FD143" s="181"/>
      <c r="FE143" s="181"/>
      <c r="FF143" s="181"/>
      <c r="FG143" s="181"/>
      <c r="FH143" s="181"/>
      <c r="FI143" s="181"/>
      <c r="FJ143" s="181"/>
      <c r="FK143" s="181"/>
      <c r="FL143" s="181"/>
      <c r="FM143" s="181"/>
      <c r="FN143" s="181"/>
      <c r="FO143" s="181"/>
      <c r="FP143" s="181"/>
      <c r="FQ143" s="181"/>
      <c r="FR143" s="181"/>
      <c r="FS143" s="181"/>
      <c r="FT143" s="181"/>
      <c r="FU143" s="181"/>
      <c r="FV143" s="181"/>
      <c r="FW143" s="181"/>
      <c r="FX143" s="181"/>
      <c r="FY143" s="181"/>
      <c r="FZ143" s="181"/>
      <c r="GA143" s="181"/>
      <c r="GB143" s="181"/>
      <c r="GC143" s="181"/>
      <c r="GD143" s="181"/>
      <c r="GE143" s="181"/>
      <c r="GF143" s="181"/>
      <c r="GG143" s="181"/>
      <c r="GH143" s="181"/>
      <c r="GI143" s="181"/>
      <c r="GJ143" s="181"/>
      <c r="GK143" s="181"/>
      <c r="GL143" s="181"/>
      <c r="GM143" s="181"/>
      <c r="GN143" s="181"/>
      <c r="GO143" s="181"/>
      <c r="GP143" s="181"/>
      <c r="GQ143" s="181"/>
      <c r="GR143" s="181"/>
      <c r="GS143" s="181"/>
      <c r="GT143" s="181"/>
      <c r="GU143" s="181"/>
      <c r="GV143" s="181"/>
      <c r="GW143" s="181"/>
      <c r="GX143" s="181"/>
      <c r="GY143" s="181"/>
      <c r="GZ143" s="181"/>
      <c r="HA143" s="181"/>
      <c r="HB143" s="181"/>
      <c r="HC143" s="181"/>
      <c r="HD143" s="181"/>
      <c r="HE143" s="181"/>
      <c r="HF143" s="181"/>
      <c r="HG143" s="181"/>
      <c r="HH143" s="181"/>
      <c r="HI143" s="181"/>
      <c r="HJ143" s="181"/>
      <c r="HK143" s="181"/>
      <c r="HL143" s="181"/>
      <c r="HM143" s="181"/>
      <c r="HN143" s="181"/>
      <c r="HO143" s="181"/>
      <c r="HP143" s="181"/>
      <c r="HQ143" s="181"/>
      <c r="HR143" s="181"/>
      <c r="HS143" s="181"/>
      <c r="HT143" s="181"/>
      <c r="HU143" s="181"/>
      <c r="HV143" s="181"/>
      <c r="HW143" s="181"/>
      <c r="HX143" s="181"/>
      <c r="HY143" s="181"/>
      <c r="HZ143" s="181"/>
      <c r="IA143" s="181"/>
      <c r="IB143" s="181"/>
      <c r="IC143" s="181"/>
      <c r="ID143" s="181"/>
      <c r="IE143" s="181"/>
      <c r="IF143" s="181"/>
      <c r="IG143" s="181"/>
      <c r="IH143" s="181"/>
      <c r="II143" s="181"/>
      <c r="IJ143" s="181"/>
      <c r="IK143" s="181"/>
      <c r="IL143" s="181"/>
      <c r="IM143" s="181"/>
      <c r="IN143" s="181"/>
      <c r="IO143" s="181"/>
      <c r="IP143" s="181"/>
      <c r="IQ143" s="181"/>
      <c r="IR143" s="181"/>
      <c r="IS143" s="181"/>
      <c r="IT143" s="181"/>
      <c r="IU143" s="181"/>
      <c r="IV143" s="181"/>
      <c r="IW143" s="181"/>
      <c r="IX143" s="181"/>
      <c r="IY143" s="181"/>
      <c r="IZ143" s="181"/>
      <c r="JA143" s="181"/>
      <c r="JB143" s="181"/>
      <c r="JC143" s="181"/>
      <c r="JD143" s="181"/>
      <c r="JE143" s="181"/>
      <c r="JF143" s="181"/>
      <c r="JG143" s="181"/>
      <c r="JH143" s="181"/>
      <c r="JI143" s="181"/>
      <c r="JJ143" s="181"/>
      <c r="JK143" s="181"/>
      <c r="JL143" s="181"/>
      <c r="JM143" s="181"/>
      <c r="JN143" s="181"/>
      <c r="JO143" s="181"/>
      <c r="JP143" s="181"/>
      <c r="JQ143" s="181"/>
      <c r="JR143" s="181"/>
      <c r="JS143" s="181"/>
      <c r="JT143" s="181"/>
      <c r="JU143" s="181"/>
      <c r="JV143" s="181"/>
      <c r="JW143" s="181"/>
      <c r="JX143" s="181"/>
      <c r="JY143" s="181"/>
      <c r="JZ143" s="181"/>
      <c r="KA143" s="181"/>
      <c r="KB143" s="181"/>
      <c r="KC143" s="181"/>
      <c r="KD143" s="181"/>
      <c r="KE143" s="181"/>
      <c r="KF143" s="181"/>
      <c r="KG143" s="181"/>
      <c r="KH143" s="181"/>
      <c r="KI143" s="181"/>
      <c r="KJ143" s="181"/>
      <c r="KK143" s="181"/>
      <c r="KL143" s="181"/>
      <c r="KM143" s="181"/>
      <c r="KN143" s="181"/>
      <c r="KO143" s="181"/>
      <c r="KP143" s="181"/>
      <c r="KQ143" s="181"/>
      <c r="KR143" s="181"/>
      <c r="KS143" s="181"/>
      <c r="KT143" s="181"/>
      <c r="KU143" s="181"/>
      <c r="KV143" s="181"/>
      <c r="KW143" s="181"/>
      <c r="KX143" s="181"/>
      <c r="KY143" s="181"/>
      <c r="KZ143" s="181"/>
      <c r="LA143" s="181"/>
      <c r="LB143" s="181"/>
      <c r="LC143" s="181"/>
      <c r="LD143" s="181"/>
      <c r="LE143" s="181"/>
      <c r="LF143" s="181"/>
      <c r="LG143" s="181"/>
      <c r="LH143" s="181"/>
      <c r="LI143" s="181"/>
      <c r="LJ143" s="181"/>
      <c r="LK143" s="181"/>
      <c r="LL143" s="181"/>
      <c r="LM143" s="181"/>
      <c r="LN143" s="181"/>
      <c r="LO143" s="181"/>
      <c r="LP143" s="181"/>
      <c r="LQ143" s="181"/>
      <c r="LR143" s="181"/>
      <c r="LS143" s="181"/>
      <c r="LT143" s="181"/>
      <c r="LU143" s="181"/>
      <c r="LV143" s="181"/>
      <c r="LW143" s="181"/>
      <c r="LX143" s="181"/>
      <c r="LY143" s="181"/>
      <c r="LZ143" s="181"/>
      <c r="MA143" s="181"/>
      <c r="MB143" s="181"/>
      <c r="MC143" s="181"/>
      <c r="MD143" s="181"/>
      <c r="ME143" s="181"/>
      <c r="MF143" s="181"/>
      <c r="MG143" s="181"/>
      <c r="MH143" s="181"/>
      <c r="MI143" s="181"/>
      <c r="MJ143" s="181"/>
      <c r="MK143" s="181"/>
      <c r="ML143" s="181"/>
      <c r="MM143" s="181"/>
      <c r="MN143" s="181"/>
      <c r="MO143" s="181"/>
      <c r="MP143" s="181"/>
      <c r="MQ143" s="181"/>
      <c r="MR143" s="181"/>
      <c r="MS143" s="181"/>
      <c r="MT143" s="181"/>
      <c r="MU143" s="181"/>
      <c r="MV143" s="181"/>
      <c r="MW143" s="181"/>
      <c r="MX143" s="181"/>
      <c r="MY143" s="181"/>
      <c r="MZ143" s="181"/>
      <c r="NA143" s="181"/>
      <c r="NB143" s="181"/>
      <c r="NC143" s="181"/>
      <c r="ND143" s="181"/>
      <c r="NE143" s="181"/>
      <c r="NF143" s="181"/>
      <c r="NG143" s="181"/>
      <c r="NH143" s="181"/>
      <c r="NI143" s="181"/>
      <c r="NJ143" s="181"/>
      <c r="NK143" s="181"/>
      <c r="NL143" s="181"/>
      <c r="NM143" s="181"/>
      <c r="NN143" s="181"/>
      <c r="NO143" s="181"/>
      <c r="NP143" s="181"/>
      <c r="NQ143" s="181"/>
      <c r="NR143" s="181"/>
      <c r="NS143" s="181"/>
      <c r="NT143" s="181"/>
      <c r="NU143" s="181"/>
      <c r="NV143" s="181"/>
      <c r="NW143" s="181"/>
      <c r="NX143" s="181"/>
      <c r="NY143" s="181"/>
      <c r="NZ143" s="181"/>
      <c r="OA143" s="181"/>
      <c r="OB143" s="181"/>
      <c r="OC143" s="181"/>
      <c r="OD143" s="181"/>
      <c r="OE143" s="181"/>
      <c r="OF143" s="181"/>
      <c r="OG143" s="181"/>
      <c r="OH143" s="181"/>
      <c r="OI143" s="181"/>
      <c r="OJ143" s="181"/>
      <c r="OK143" s="181"/>
      <c r="OL143" s="181"/>
      <c r="OM143" s="181"/>
      <c r="ON143" s="181"/>
      <c r="OO143" s="181"/>
      <c r="OP143" s="181"/>
      <c r="OQ143" s="181"/>
      <c r="OR143" s="181"/>
      <c r="OS143" s="181"/>
      <c r="OT143" s="181"/>
      <c r="OU143" s="181"/>
      <c r="OV143" s="181"/>
      <c r="OW143" s="181"/>
      <c r="OX143" s="181"/>
      <c r="OY143" s="181"/>
      <c r="OZ143" s="181"/>
      <c r="PA143" s="181"/>
      <c r="PB143" s="181"/>
      <c r="PC143" s="181"/>
      <c r="PD143" s="181"/>
      <c r="PE143" s="181"/>
      <c r="PF143" s="181"/>
      <c r="PG143" s="181"/>
      <c r="PH143" s="181"/>
      <c r="PI143" s="181"/>
      <c r="PJ143" s="181"/>
      <c r="PK143" s="181"/>
      <c r="PL143" s="181"/>
      <c r="PM143" s="181"/>
      <c r="PN143" s="181"/>
      <c r="PO143" s="181"/>
      <c r="PP143" s="181"/>
      <c r="PQ143" s="181"/>
      <c r="PR143" s="181"/>
      <c r="PS143" s="181"/>
      <c r="PT143" s="181"/>
      <c r="PU143" s="181"/>
      <c r="PV143" s="181"/>
      <c r="PW143" s="181"/>
      <c r="PX143" s="181"/>
      <c r="PY143" s="181"/>
      <c r="PZ143" s="181"/>
      <c r="QA143" s="181"/>
      <c r="QB143" s="181"/>
      <c r="QC143" s="181"/>
      <c r="QD143" s="181"/>
      <c r="QE143" s="181"/>
      <c r="QF143" s="181"/>
      <c r="QG143" s="181"/>
      <c r="QH143" s="181"/>
      <c r="QI143" s="181"/>
      <c r="QJ143" s="181"/>
      <c r="QK143" s="181"/>
      <c r="QL143" s="181"/>
      <c r="QM143" s="181"/>
      <c r="QN143" s="181"/>
      <c r="QO143" s="181"/>
      <c r="QP143" s="181"/>
      <c r="QQ143" s="181"/>
      <c r="QR143" s="181"/>
      <c r="QS143" s="181"/>
      <c r="QT143" s="181"/>
      <c r="QU143" s="181"/>
      <c r="QV143" s="181"/>
      <c r="QW143" s="181"/>
      <c r="QX143" s="181"/>
      <c r="QY143" s="181"/>
      <c r="QZ143" s="181"/>
      <c r="RA143" s="181"/>
      <c r="RB143" s="181"/>
      <c r="RC143" s="181"/>
      <c r="RD143" s="181"/>
      <c r="RE143" s="181"/>
      <c r="RF143" s="181"/>
      <c r="RG143" s="181"/>
      <c r="RH143" s="181"/>
      <c r="RI143" s="181"/>
      <c r="RJ143" s="181"/>
      <c r="RK143" s="181"/>
      <c r="RL143" s="181"/>
      <c r="RM143" s="181"/>
      <c r="RN143" s="181"/>
      <c r="RO143" s="181"/>
      <c r="RP143" s="181"/>
      <c r="RQ143" s="181"/>
      <c r="RR143" s="181"/>
      <c r="RS143" s="181"/>
      <c r="RT143" s="181"/>
      <c r="RU143" s="181"/>
      <c r="RV143" s="181"/>
      <c r="RW143" s="181"/>
      <c r="RX143" s="181"/>
      <c r="RY143" s="181"/>
      <c r="RZ143" s="181"/>
      <c r="SA143" s="181"/>
      <c r="SB143" s="181"/>
      <c r="SC143" s="181"/>
      <c r="SD143" s="181"/>
      <c r="SE143" s="181"/>
      <c r="SF143" s="181"/>
      <c r="SG143" s="181"/>
      <c r="SH143" s="181"/>
      <c r="SI143" s="181"/>
      <c r="SJ143" s="181"/>
      <c r="SK143" s="181"/>
      <c r="SL143" s="181"/>
      <c r="SM143" s="181"/>
      <c r="SN143" s="181"/>
      <c r="SO143" s="181"/>
      <c r="SP143" s="181"/>
      <c r="SQ143" s="181"/>
      <c r="SR143" s="181"/>
      <c r="SS143" s="181"/>
      <c r="ST143" s="181"/>
      <c r="SU143" s="181"/>
      <c r="SV143" s="181"/>
      <c r="SW143" s="181"/>
      <c r="SX143" s="181"/>
      <c r="SY143" s="181"/>
      <c r="SZ143" s="181"/>
      <c r="TA143" s="181"/>
      <c r="TB143" s="181"/>
      <c r="TC143" s="181"/>
      <c r="TD143" s="181"/>
      <c r="TE143" s="181"/>
      <c r="TF143" s="181"/>
      <c r="TG143" s="181"/>
      <c r="TH143" s="181"/>
      <c r="TI143" s="181"/>
      <c r="TJ143" s="181"/>
      <c r="TK143" s="181"/>
      <c r="TL143" s="181"/>
      <c r="TM143" s="181"/>
      <c r="TN143" s="181"/>
      <c r="TO143" s="181"/>
      <c r="TP143" s="181"/>
      <c r="TQ143" s="181"/>
      <c r="TR143" s="181"/>
      <c r="TS143" s="181"/>
      <c r="TT143" s="181"/>
      <c r="TU143" s="181"/>
      <c r="TV143" s="181"/>
      <c r="TW143" s="181"/>
      <c r="TX143" s="181"/>
      <c r="TY143" s="181"/>
      <c r="TZ143" s="181"/>
      <c r="UA143" s="181"/>
      <c r="UB143" s="181"/>
      <c r="UC143" s="181"/>
      <c r="UD143" s="181"/>
      <c r="UE143" s="181"/>
      <c r="UF143" s="181"/>
      <c r="UG143" s="181"/>
      <c r="UH143" s="181"/>
      <c r="UI143" s="181"/>
      <c r="UJ143" s="181"/>
      <c r="UK143" s="181"/>
      <c r="UL143" s="181"/>
      <c r="UM143" s="181"/>
      <c r="UN143" s="181"/>
      <c r="UO143" s="181"/>
      <c r="UP143" s="181"/>
      <c r="UQ143" s="181"/>
      <c r="UR143" s="181"/>
      <c r="US143" s="181"/>
      <c r="UT143" s="181"/>
      <c r="UU143" s="181"/>
      <c r="UV143" s="181"/>
      <c r="UW143" s="181"/>
      <c r="UX143" s="181"/>
      <c r="UY143" s="181"/>
      <c r="UZ143" s="181"/>
      <c r="VA143" s="181"/>
      <c r="VB143" s="181"/>
      <c r="VC143" s="181"/>
      <c r="VD143" s="181"/>
      <c r="VE143" s="181"/>
      <c r="VF143" s="181"/>
      <c r="VG143" s="181"/>
      <c r="VH143" s="181"/>
      <c r="VI143" s="181"/>
      <c r="VJ143" s="181"/>
      <c r="VK143" s="181"/>
      <c r="VL143" s="181"/>
      <c r="VM143" s="181"/>
      <c r="VN143" s="181"/>
      <c r="VO143" s="181"/>
      <c r="VP143" s="181"/>
      <c r="VQ143" s="181"/>
      <c r="VR143" s="181"/>
      <c r="VS143" s="181"/>
      <c r="VT143" s="181"/>
      <c r="VU143" s="181"/>
      <c r="VV143" s="181"/>
      <c r="VW143" s="181"/>
      <c r="VX143" s="181"/>
      <c r="VY143" s="181"/>
      <c r="VZ143" s="181"/>
      <c r="WA143" s="181"/>
      <c r="WB143" s="181"/>
      <c r="WC143" s="181"/>
      <c r="WD143" s="181"/>
      <c r="WE143" s="181"/>
      <c r="WF143" s="181"/>
      <c r="WG143" s="181"/>
      <c r="WH143" s="181"/>
      <c r="WI143" s="181"/>
      <c r="WJ143" s="181"/>
      <c r="WK143" s="181"/>
      <c r="WL143" s="181"/>
      <c r="WM143" s="181"/>
      <c r="WN143" s="181"/>
      <c r="WO143" s="181"/>
      <c r="WP143" s="181"/>
      <c r="WQ143" s="181"/>
      <c r="WR143" s="181"/>
      <c r="WS143" s="181"/>
      <c r="WT143" s="181"/>
      <c r="WU143" s="181"/>
      <c r="WV143" s="181"/>
      <c r="WW143" s="181"/>
      <c r="WX143" s="181"/>
      <c r="WY143" s="181"/>
      <c r="WZ143" s="181"/>
      <c r="XA143" s="181"/>
      <c r="XB143" s="181"/>
      <c r="XC143" s="181"/>
      <c r="XD143" s="181"/>
      <c r="XE143" s="181"/>
      <c r="XF143" s="181"/>
      <c r="XG143" s="181"/>
      <c r="XH143" s="181"/>
      <c r="XI143" s="181"/>
      <c r="XJ143" s="181"/>
      <c r="XK143" s="181"/>
      <c r="XL143" s="181"/>
      <c r="XM143" s="181"/>
      <c r="XN143" s="181"/>
      <c r="XO143" s="181"/>
      <c r="XP143" s="181"/>
      <c r="XQ143" s="181"/>
      <c r="XR143" s="181"/>
      <c r="XS143" s="181"/>
      <c r="XT143" s="181"/>
      <c r="XU143" s="181"/>
      <c r="XV143" s="181"/>
      <c r="XW143" s="181"/>
      <c r="XX143" s="181"/>
      <c r="XY143" s="181"/>
      <c r="XZ143" s="181"/>
      <c r="YA143" s="181"/>
      <c r="YB143" s="181"/>
      <c r="YC143" s="181"/>
      <c r="YD143" s="181"/>
      <c r="YE143" s="181"/>
      <c r="YF143" s="181"/>
      <c r="YG143" s="181"/>
      <c r="YH143" s="181"/>
      <c r="YI143" s="181"/>
      <c r="YJ143" s="181"/>
      <c r="YK143" s="181"/>
      <c r="YL143" s="181"/>
      <c r="YM143" s="181"/>
      <c r="YN143" s="181"/>
      <c r="YO143" s="181"/>
      <c r="YP143" s="181"/>
      <c r="YQ143" s="181"/>
      <c r="YR143" s="181"/>
      <c r="YS143" s="181"/>
      <c r="YT143" s="181"/>
      <c r="YU143" s="181"/>
      <c r="YV143" s="181"/>
      <c r="YW143" s="181"/>
      <c r="YX143" s="181"/>
      <c r="YY143" s="181"/>
      <c r="YZ143" s="181"/>
      <c r="ZA143" s="181"/>
      <c r="ZB143" s="181"/>
      <c r="ZC143" s="181"/>
      <c r="ZD143" s="181"/>
      <c r="ZE143" s="181"/>
      <c r="ZF143" s="181"/>
      <c r="ZG143" s="181"/>
      <c r="ZH143" s="181"/>
      <c r="ZI143" s="181"/>
      <c r="ZJ143" s="181"/>
      <c r="ZK143" s="181"/>
      <c r="ZL143" s="181"/>
      <c r="ZM143" s="181"/>
      <c r="ZN143" s="181"/>
      <c r="ZO143" s="181"/>
      <c r="ZP143" s="181"/>
      <c r="ZQ143" s="181"/>
      <c r="ZR143" s="181"/>
      <c r="ZS143" s="181"/>
      <c r="ZT143" s="181"/>
      <c r="ZU143" s="181"/>
      <c r="ZV143" s="181"/>
      <c r="ZW143" s="181"/>
      <c r="ZX143" s="181"/>
      <c r="ZY143" s="181"/>
      <c r="ZZ143" s="181"/>
      <c r="AAA143" s="181"/>
      <c r="AAB143" s="181"/>
      <c r="AAC143" s="181"/>
      <c r="AAD143" s="181"/>
      <c r="AAE143" s="181"/>
      <c r="AAF143" s="181"/>
      <c r="AAG143" s="181"/>
      <c r="AAH143" s="181"/>
      <c r="AAI143" s="181"/>
      <c r="AAJ143" s="181"/>
      <c r="AAK143" s="181"/>
      <c r="AAL143" s="181"/>
      <c r="AAM143" s="181"/>
      <c r="AAN143" s="181"/>
      <c r="AAO143" s="181"/>
      <c r="AAP143" s="181"/>
      <c r="AAQ143" s="181"/>
      <c r="AAR143" s="181"/>
      <c r="AAS143" s="181"/>
      <c r="AAT143" s="181"/>
      <c r="AAU143" s="181"/>
      <c r="AAV143" s="181"/>
      <c r="AAW143" s="181"/>
      <c r="AAX143" s="181"/>
      <c r="AAY143" s="181"/>
      <c r="AAZ143" s="181"/>
      <c r="ABA143" s="181"/>
      <c r="ABB143" s="181"/>
      <c r="ABC143" s="181"/>
      <c r="ABD143" s="181"/>
      <c r="ABE143" s="181"/>
      <c r="ABF143" s="181"/>
      <c r="ABG143" s="181"/>
      <c r="ABH143" s="181"/>
      <c r="ABI143" s="181"/>
      <c r="ABJ143" s="181"/>
      <c r="ABK143" s="181"/>
      <c r="ABL143" s="181"/>
      <c r="ABM143" s="181"/>
      <c r="ABN143" s="181"/>
      <c r="ABO143" s="181"/>
      <c r="ABP143" s="181"/>
      <c r="ABQ143" s="181"/>
      <c r="ABR143" s="181"/>
      <c r="ABS143" s="181"/>
      <c r="ABT143" s="181"/>
      <c r="ABU143" s="181"/>
      <c r="ABV143" s="181"/>
      <c r="ABW143" s="181"/>
      <c r="ABX143" s="181"/>
      <c r="ABY143" s="181"/>
      <c r="ABZ143" s="181"/>
      <c r="ACA143" s="181"/>
      <c r="ACB143" s="181"/>
      <c r="ACC143" s="181"/>
      <c r="ACD143" s="181"/>
      <c r="ACE143" s="181"/>
      <c r="ACF143" s="181"/>
      <c r="ACG143" s="181"/>
      <c r="ACH143" s="181"/>
      <c r="ACI143" s="181"/>
      <c r="ACJ143" s="181"/>
      <c r="ACK143" s="181"/>
      <c r="ACL143" s="181"/>
      <c r="ACM143" s="181"/>
      <c r="ACN143" s="181"/>
      <c r="ACO143" s="181"/>
      <c r="ACP143" s="181"/>
      <c r="ACQ143" s="181"/>
      <c r="ACR143" s="181"/>
      <c r="ACS143" s="181"/>
      <c r="ACT143" s="181"/>
      <c r="ACU143" s="181"/>
      <c r="ACV143" s="181"/>
      <c r="ACW143" s="181"/>
      <c r="ACX143" s="181"/>
      <c r="ACY143" s="181"/>
      <c r="ACZ143" s="181"/>
      <c r="ADA143" s="181"/>
      <c r="ADB143" s="181"/>
      <c r="ADC143" s="181"/>
      <c r="ADD143" s="181"/>
      <c r="ADE143" s="181"/>
      <c r="ADF143" s="181"/>
      <c r="ADG143" s="181"/>
      <c r="ADH143" s="181"/>
      <c r="ADI143" s="181"/>
      <c r="ADJ143" s="181"/>
      <c r="ADK143" s="181"/>
      <c r="ADL143" s="181"/>
      <c r="ADM143" s="181"/>
      <c r="ADN143" s="181"/>
      <c r="ADO143" s="181"/>
      <c r="ADP143" s="181"/>
      <c r="ADQ143" s="181"/>
      <c r="ADR143" s="181"/>
      <c r="ADS143" s="181"/>
      <c r="ADT143" s="181"/>
      <c r="ADU143" s="181"/>
      <c r="ADV143" s="181"/>
      <c r="ADW143" s="181"/>
      <c r="ADX143" s="181"/>
      <c r="ADY143" s="181"/>
      <c r="ADZ143" s="181"/>
      <c r="AEA143" s="181"/>
      <c r="AEB143" s="181"/>
      <c r="AEC143" s="181"/>
      <c r="AED143" s="181"/>
      <c r="AEE143" s="181"/>
      <c r="AEF143" s="181"/>
      <c r="AEG143" s="181"/>
      <c r="AEH143" s="181"/>
      <c r="AEI143" s="181"/>
      <c r="AEJ143" s="181"/>
      <c r="AEK143" s="181"/>
      <c r="AEL143" s="181"/>
      <c r="AEM143" s="181"/>
      <c r="AEN143" s="181"/>
      <c r="AEO143" s="181"/>
      <c r="AEP143" s="181"/>
      <c r="AEQ143" s="181"/>
      <c r="AER143" s="181"/>
      <c r="AES143" s="181"/>
      <c r="AET143" s="181"/>
      <c r="AEU143" s="181"/>
      <c r="AEV143" s="181"/>
      <c r="AEW143" s="181"/>
      <c r="AEX143" s="181"/>
      <c r="AEY143" s="181"/>
      <c r="AEZ143" s="181"/>
      <c r="AFA143" s="181"/>
      <c r="AFB143" s="181"/>
      <c r="AFC143" s="181"/>
      <c r="AFD143" s="181"/>
      <c r="AFE143" s="181"/>
      <c r="AFF143" s="181"/>
      <c r="AFG143" s="181"/>
      <c r="AFH143" s="181"/>
      <c r="AFI143" s="181"/>
      <c r="AFJ143" s="181"/>
      <c r="AFK143" s="181"/>
      <c r="AFL143" s="181"/>
      <c r="AFM143" s="181"/>
      <c r="AFN143" s="181"/>
      <c r="AFO143" s="181"/>
      <c r="AFP143" s="181"/>
      <c r="AFQ143" s="181"/>
      <c r="AFR143" s="181"/>
      <c r="AFS143" s="181"/>
      <c r="AFT143" s="181"/>
      <c r="AFU143" s="181"/>
      <c r="AFV143" s="181"/>
      <c r="AFW143" s="181"/>
      <c r="AFX143" s="181"/>
      <c r="AFY143" s="181"/>
      <c r="AFZ143" s="181"/>
      <c r="AGA143" s="181"/>
      <c r="AGB143" s="181"/>
      <c r="AGC143" s="181"/>
      <c r="AGD143" s="181"/>
      <c r="AGE143" s="181"/>
      <c r="AGF143" s="181"/>
      <c r="AGG143" s="181"/>
      <c r="AGH143" s="181"/>
      <c r="AGI143" s="181"/>
      <c r="AGJ143" s="181"/>
      <c r="AGK143" s="181"/>
      <c r="AGL143" s="181"/>
      <c r="AGM143" s="181"/>
      <c r="AGN143" s="181"/>
      <c r="AGO143" s="181"/>
      <c r="AGP143" s="181"/>
      <c r="AGQ143" s="181"/>
      <c r="AGR143" s="181"/>
      <c r="AGS143" s="181"/>
      <c r="AGT143" s="181"/>
      <c r="AGU143" s="181"/>
      <c r="AGV143" s="181"/>
      <c r="AGW143" s="181"/>
      <c r="AGX143" s="181"/>
      <c r="AGY143" s="181"/>
      <c r="AGZ143" s="181"/>
      <c r="AHA143" s="181"/>
      <c r="AHB143" s="181"/>
      <c r="AHC143" s="181"/>
      <c r="AHD143" s="181"/>
      <c r="AHE143" s="181"/>
      <c r="AHF143" s="181"/>
      <c r="AHG143" s="181"/>
      <c r="AHH143" s="181"/>
      <c r="AHI143" s="181"/>
      <c r="AHJ143" s="181"/>
      <c r="AHK143" s="181"/>
      <c r="AHL143" s="181"/>
      <c r="AHM143" s="181"/>
      <c r="AHN143" s="181"/>
      <c r="AHO143" s="181"/>
      <c r="AHP143" s="181"/>
      <c r="AHQ143" s="181"/>
      <c r="AHR143" s="181"/>
      <c r="AHS143" s="181"/>
      <c r="AHT143" s="181"/>
      <c r="AHU143" s="181"/>
      <c r="AHV143" s="181"/>
      <c r="AHW143" s="181"/>
      <c r="AHX143" s="181"/>
      <c r="AHY143" s="181"/>
      <c r="AHZ143" s="181"/>
      <c r="AIA143" s="181"/>
      <c r="AIB143" s="181"/>
      <c r="AIC143" s="181"/>
      <c r="AID143" s="181"/>
      <c r="AIE143" s="181"/>
      <c r="AIF143" s="181"/>
      <c r="AIG143" s="181"/>
      <c r="AIH143" s="181"/>
      <c r="AII143" s="181"/>
      <c r="AIJ143" s="181"/>
      <c r="AIK143" s="181"/>
      <c r="AIL143" s="181"/>
      <c r="AIM143" s="181"/>
      <c r="AIN143" s="181"/>
      <c r="AIO143" s="181"/>
      <c r="AIP143" s="181"/>
      <c r="AIQ143" s="181"/>
      <c r="AIR143" s="181"/>
      <c r="AIS143" s="181"/>
      <c r="AIT143" s="181"/>
      <c r="AIU143" s="181"/>
      <c r="AIV143" s="181"/>
      <c r="AIW143" s="181"/>
      <c r="AIX143" s="181"/>
      <c r="AIY143" s="181"/>
      <c r="AIZ143" s="181"/>
      <c r="AJA143" s="181"/>
      <c r="AJB143" s="181"/>
      <c r="AJC143" s="181"/>
      <c r="AJD143" s="181"/>
      <c r="AJE143" s="181"/>
      <c r="AJF143" s="181"/>
      <c r="AJG143" s="181"/>
      <c r="AJH143" s="181"/>
      <c r="AJI143" s="181"/>
      <c r="AJJ143" s="181"/>
      <c r="AJK143" s="181"/>
      <c r="AJL143" s="181"/>
      <c r="AJM143" s="181"/>
      <c r="AJN143" s="181"/>
      <c r="AJO143" s="181"/>
      <c r="AJP143" s="181"/>
      <c r="AJQ143" s="181"/>
      <c r="AJR143" s="181"/>
      <c r="AJS143" s="181"/>
      <c r="AJT143" s="181"/>
      <c r="AJU143" s="181"/>
      <c r="AJV143" s="181"/>
      <c r="AJW143" s="181"/>
      <c r="AJX143" s="181"/>
      <c r="AJY143" s="181"/>
      <c r="AJZ143" s="181"/>
      <c r="AKA143" s="181"/>
      <c r="AKB143" s="181"/>
      <c r="AKC143" s="181"/>
      <c r="AKD143" s="181"/>
      <c r="AKE143" s="181"/>
      <c r="AKF143" s="181"/>
      <c r="AKG143" s="181"/>
      <c r="AKH143" s="181"/>
      <c r="AKI143" s="181"/>
      <c r="AKJ143" s="181"/>
      <c r="AKK143" s="181"/>
      <c r="AKL143" s="181"/>
      <c r="AKM143" s="181"/>
      <c r="AKN143" s="181"/>
      <c r="AKO143" s="181"/>
      <c r="AKP143" s="181"/>
      <c r="AKQ143" s="181"/>
      <c r="AKR143" s="181"/>
      <c r="AKS143" s="181"/>
      <c r="AKT143" s="181"/>
      <c r="AKU143" s="181"/>
      <c r="AKV143" s="181"/>
      <c r="AKW143" s="181"/>
      <c r="AKX143" s="181"/>
      <c r="AKY143" s="181"/>
      <c r="AKZ143" s="181"/>
      <c r="ALA143" s="181"/>
      <c r="ALB143" s="181"/>
      <c r="ALC143" s="181"/>
      <c r="ALD143" s="181"/>
      <c r="ALE143" s="181"/>
      <c r="ALF143" s="181"/>
      <c r="ALG143" s="181"/>
      <c r="ALH143" s="181"/>
      <c r="ALI143" s="181"/>
      <c r="ALJ143" s="181"/>
      <c r="ALK143" s="181"/>
      <c r="ALL143" s="181"/>
      <c r="ALM143" s="181"/>
      <c r="ALN143" s="181"/>
      <c r="ALO143" s="181"/>
      <c r="ALP143" s="181"/>
      <c r="ALQ143" s="181"/>
      <c r="ALR143" s="181"/>
      <c r="ALS143" s="181"/>
      <c r="ALT143" s="181"/>
      <c r="ALU143" s="181"/>
      <c r="ALV143" s="181"/>
      <c r="ALW143" s="181"/>
      <c r="ALX143" s="181"/>
      <c r="ALY143" s="181"/>
      <c r="ALZ143" s="181"/>
      <c r="AMA143" s="181"/>
      <c r="AMB143" s="181"/>
      <c r="AMC143" s="181"/>
      <c r="AMD143" s="181"/>
      <c r="AME143" s="181"/>
      <c r="AMF143" s="181"/>
      <c r="AMG143" s="181"/>
      <c r="AMH143" s="181"/>
      <c r="AMI143" s="181"/>
      <c r="AMJ143" s="181"/>
      <c r="AMK143" s="181"/>
      <c r="AML143" s="181"/>
      <c r="AMM143" s="181"/>
      <c r="AMN143" s="181"/>
      <c r="AMO143" s="181"/>
      <c r="AMP143" s="181"/>
      <c r="AMQ143" s="181"/>
      <c r="AMR143" s="181"/>
      <c r="AMS143" s="181"/>
      <c r="AMT143" s="181"/>
      <c r="AMU143" s="181"/>
      <c r="AMV143" s="181"/>
      <c r="AMW143" s="181"/>
      <c r="AMX143" s="181"/>
      <c r="AMY143" s="181"/>
      <c r="AMZ143" s="181"/>
      <c r="ANA143" s="181"/>
      <c r="ANB143" s="181"/>
      <c r="ANC143" s="181"/>
      <c r="AND143" s="181"/>
      <c r="ANE143" s="181"/>
      <c r="ANF143" s="181"/>
      <c r="ANG143" s="181"/>
      <c r="ANH143" s="181"/>
      <c r="ANI143" s="181"/>
      <c r="ANJ143" s="181"/>
      <c r="ANK143" s="181"/>
      <c r="ANL143" s="181"/>
      <c r="ANM143" s="181"/>
      <c r="ANN143" s="181"/>
      <c r="ANO143" s="181"/>
      <c r="ANP143" s="181"/>
      <c r="ANQ143" s="181"/>
      <c r="ANR143" s="181"/>
      <c r="ANS143" s="181"/>
      <c r="ANT143" s="181"/>
      <c r="ANU143" s="181"/>
      <c r="ANV143" s="181"/>
      <c r="ANW143" s="181"/>
      <c r="ANX143" s="181"/>
      <c r="ANY143" s="181"/>
      <c r="ANZ143" s="181"/>
      <c r="AOA143" s="181"/>
      <c r="AOB143" s="181"/>
      <c r="AOC143" s="181"/>
      <c r="AOD143" s="181"/>
      <c r="AOE143" s="181"/>
      <c r="AOF143" s="181"/>
      <c r="AOG143" s="181"/>
      <c r="AOH143" s="181"/>
      <c r="AOI143" s="181"/>
      <c r="AOJ143" s="181"/>
      <c r="AOK143" s="181"/>
      <c r="AOL143" s="181"/>
      <c r="AOM143" s="181"/>
      <c r="AON143" s="181"/>
      <c r="AOO143" s="181"/>
      <c r="AOP143" s="181"/>
      <c r="AOQ143" s="181"/>
      <c r="AOR143" s="181"/>
      <c r="AOS143" s="181"/>
      <c r="AOT143" s="181"/>
      <c r="AOU143" s="181"/>
      <c r="AOV143" s="181"/>
      <c r="AOW143" s="181"/>
      <c r="AOX143" s="181"/>
      <c r="AOY143" s="181"/>
      <c r="AOZ143" s="181"/>
      <c r="APA143" s="181"/>
      <c r="APB143" s="181"/>
      <c r="APC143" s="181"/>
      <c r="APD143" s="181"/>
      <c r="APE143" s="181"/>
      <c r="APF143" s="181"/>
      <c r="APG143" s="181"/>
      <c r="APH143" s="181"/>
      <c r="API143" s="181"/>
      <c r="APJ143" s="181"/>
      <c r="APK143" s="181"/>
      <c r="APL143" s="181"/>
      <c r="APM143" s="181"/>
      <c r="APN143" s="181"/>
      <c r="APO143" s="181"/>
      <c r="APP143" s="181"/>
      <c r="APQ143" s="181"/>
      <c r="APR143" s="181"/>
      <c r="APS143" s="181"/>
      <c r="APT143" s="181"/>
      <c r="APU143" s="181"/>
      <c r="APV143" s="181"/>
      <c r="APW143" s="181"/>
      <c r="APX143" s="181"/>
      <c r="APY143" s="181"/>
      <c r="APZ143" s="181"/>
      <c r="AQA143" s="181"/>
      <c r="AQB143" s="181"/>
      <c r="AQC143" s="181"/>
      <c r="AQD143" s="181"/>
      <c r="AQE143" s="181"/>
      <c r="AQF143" s="181"/>
      <c r="AQG143" s="181"/>
      <c r="AQH143" s="181"/>
      <c r="AQI143" s="181"/>
      <c r="AQJ143" s="181"/>
      <c r="AQK143" s="181"/>
      <c r="AQL143" s="181"/>
      <c r="AQM143" s="181"/>
      <c r="AQN143" s="181"/>
      <c r="AQO143" s="181"/>
      <c r="AQP143" s="181"/>
      <c r="AQQ143" s="181"/>
      <c r="AQR143" s="181"/>
      <c r="AQS143" s="181"/>
      <c r="AQT143" s="181"/>
      <c r="AQU143" s="181"/>
      <c r="AQV143" s="181"/>
      <c r="AQW143" s="181"/>
      <c r="AQX143" s="181"/>
      <c r="AQY143" s="181"/>
      <c r="AQZ143" s="181"/>
      <c r="ARA143" s="181"/>
      <c r="ARB143" s="181"/>
      <c r="ARC143" s="181"/>
      <c r="ARD143" s="181"/>
      <c r="ARE143" s="181"/>
      <c r="ARF143" s="181"/>
      <c r="ARG143" s="181"/>
      <c r="ARH143" s="181"/>
      <c r="ARI143" s="181"/>
      <c r="ARJ143" s="181"/>
      <c r="ARK143" s="181"/>
      <c r="ARL143" s="181"/>
      <c r="ARM143" s="181"/>
      <c r="ARN143" s="181"/>
      <c r="ARO143" s="181"/>
      <c r="ARP143" s="181"/>
      <c r="ARQ143" s="181"/>
      <c r="ARR143" s="181"/>
      <c r="ARS143" s="181"/>
      <c r="ART143" s="181"/>
      <c r="ARU143" s="181"/>
      <c r="ARV143" s="181"/>
      <c r="ARW143" s="181"/>
      <c r="ARX143" s="181"/>
      <c r="ARY143" s="181"/>
      <c r="ARZ143" s="181"/>
      <c r="ASA143" s="181"/>
      <c r="ASB143" s="181"/>
      <c r="ASC143" s="181"/>
      <c r="ASD143" s="181"/>
      <c r="ASE143" s="181"/>
      <c r="ASF143" s="181"/>
      <c r="ASG143" s="181"/>
      <c r="ASH143" s="181"/>
      <c r="ASI143" s="181"/>
      <c r="ASJ143" s="181"/>
      <c r="ASK143" s="181"/>
      <c r="ASL143" s="181"/>
      <c r="ASM143" s="181"/>
      <c r="ASN143" s="181"/>
      <c r="ASO143" s="181"/>
      <c r="ASP143" s="181"/>
      <c r="ASQ143" s="181"/>
      <c r="ASR143" s="181"/>
      <c r="ASS143" s="181"/>
      <c r="AST143" s="181"/>
      <c r="ASU143" s="181"/>
      <c r="ASV143" s="181"/>
      <c r="ASW143" s="181"/>
      <c r="ASX143" s="181"/>
      <c r="ASY143" s="181"/>
      <c r="ASZ143" s="181"/>
      <c r="ATA143" s="181"/>
      <c r="ATB143" s="181"/>
      <c r="ATC143" s="181"/>
      <c r="ATD143" s="181"/>
      <c r="ATE143" s="181"/>
      <c r="ATF143" s="181"/>
      <c r="ATG143" s="181"/>
      <c r="ATH143" s="181"/>
      <c r="ATI143" s="181"/>
      <c r="ATJ143" s="181"/>
      <c r="ATK143" s="181"/>
      <c r="ATL143" s="181"/>
      <c r="ATM143" s="181"/>
      <c r="ATN143" s="181"/>
      <c r="ATO143" s="181"/>
      <c r="ATP143" s="181"/>
      <c r="ATQ143" s="181"/>
      <c r="ATR143" s="181"/>
      <c r="ATS143" s="181"/>
      <c r="ATT143" s="181"/>
      <c r="ATU143" s="181"/>
      <c r="ATV143" s="181"/>
      <c r="ATW143" s="181"/>
      <c r="ATX143" s="181"/>
      <c r="ATY143" s="181"/>
      <c r="ATZ143" s="181"/>
      <c r="AUA143" s="181"/>
      <c r="AUB143" s="181"/>
      <c r="AUC143" s="181"/>
      <c r="AUD143" s="181"/>
      <c r="AUE143" s="181"/>
      <c r="AUF143" s="181"/>
      <c r="AUG143" s="181"/>
      <c r="AUH143" s="181"/>
      <c r="AUI143" s="181"/>
      <c r="AUJ143" s="181"/>
      <c r="AUK143" s="181"/>
      <c r="AUL143" s="181"/>
      <c r="AUM143" s="181"/>
      <c r="AUN143" s="181"/>
      <c r="AUO143" s="181"/>
      <c r="AUP143" s="181"/>
      <c r="AUQ143" s="181"/>
      <c r="AUR143" s="181"/>
      <c r="AUS143" s="181"/>
      <c r="AUT143" s="181"/>
      <c r="AUU143" s="181"/>
      <c r="AUV143" s="181"/>
      <c r="AUW143" s="181"/>
      <c r="AUX143" s="181"/>
      <c r="AUY143" s="181"/>
      <c r="AUZ143" s="181"/>
      <c r="AVA143" s="181"/>
      <c r="AVB143" s="181"/>
      <c r="AVC143" s="181"/>
      <c r="AVD143" s="181"/>
      <c r="AVE143" s="181"/>
      <c r="AVF143" s="181"/>
      <c r="AVG143" s="181"/>
      <c r="AVH143" s="181"/>
      <c r="AVI143" s="181"/>
      <c r="AVJ143" s="181"/>
      <c r="AVK143" s="181"/>
      <c r="AVL143" s="181"/>
      <c r="AVM143" s="181"/>
      <c r="AVN143" s="181"/>
      <c r="AVO143" s="181"/>
      <c r="AVP143" s="181"/>
      <c r="AVQ143" s="181"/>
      <c r="AVR143" s="181"/>
      <c r="AVS143" s="181"/>
      <c r="AVT143" s="181"/>
      <c r="AVU143" s="181"/>
      <c r="AVV143" s="181"/>
      <c r="AVW143" s="181"/>
      <c r="AVX143" s="181"/>
      <c r="AVY143" s="181"/>
      <c r="AVZ143" s="181"/>
      <c r="AWA143" s="181"/>
      <c r="AWB143" s="181"/>
      <c r="AWC143" s="181"/>
      <c r="AWD143" s="181"/>
      <c r="AWE143" s="181"/>
      <c r="AWF143" s="181"/>
      <c r="AWG143" s="181"/>
      <c r="AWH143" s="181"/>
      <c r="AWI143" s="181"/>
      <c r="AWJ143" s="181"/>
      <c r="AWK143" s="181"/>
      <c r="AWL143" s="181"/>
      <c r="AWM143" s="181"/>
      <c r="AWN143" s="181"/>
      <c r="AWO143" s="181"/>
      <c r="AWP143" s="181"/>
      <c r="AWQ143" s="181"/>
      <c r="AWR143" s="181"/>
      <c r="AWS143" s="181"/>
      <c r="AWT143" s="181"/>
      <c r="AWU143" s="181"/>
      <c r="AWV143" s="181"/>
      <c r="AWW143" s="181"/>
      <c r="AWX143" s="181"/>
      <c r="AWY143" s="181"/>
      <c r="AWZ143" s="181"/>
      <c r="AXA143" s="181"/>
      <c r="AXB143" s="181"/>
      <c r="AXC143" s="181"/>
      <c r="AXD143" s="181"/>
      <c r="AXE143" s="181"/>
      <c r="AXF143" s="181"/>
      <c r="AXG143" s="181"/>
      <c r="AXH143" s="181"/>
      <c r="AXI143" s="181"/>
      <c r="AXJ143" s="181"/>
      <c r="AXK143" s="181"/>
      <c r="AXL143" s="181"/>
      <c r="AXM143" s="181"/>
      <c r="AXN143" s="181"/>
      <c r="AXO143" s="181"/>
      <c r="AXP143" s="181"/>
      <c r="AXQ143" s="181"/>
      <c r="AXR143" s="181"/>
      <c r="AXS143" s="181"/>
      <c r="AXT143" s="181"/>
      <c r="AXU143" s="181"/>
      <c r="AXV143" s="181"/>
      <c r="AXW143" s="181"/>
      <c r="AXX143" s="181"/>
      <c r="AXY143" s="181"/>
      <c r="AXZ143" s="181"/>
      <c r="AYA143" s="181"/>
      <c r="AYB143" s="181"/>
      <c r="AYC143" s="181"/>
      <c r="AYD143" s="181"/>
      <c r="AYE143" s="181"/>
      <c r="AYF143" s="181"/>
      <c r="AYG143" s="181"/>
      <c r="AYH143" s="181"/>
      <c r="AYI143" s="181"/>
      <c r="AYJ143" s="181"/>
      <c r="AYK143" s="181"/>
      <c r="AYL143" s="181"/>
      <c r="AYM143" s="181"/>
      <c r="AYN143" s="181"/>
      <c r="AYO143" s="181"/>
      <c r="AYP143" s="181"/>
      <c r="AYQ143" s="181"/>
      <c r="AYR143" s="181"/>
      <c r="AYS143" s="181"/>
      <c r="AYT143" s="181"/>
      <c r="AYU143" s="181"/>
      <c r="AYV143" s="181"/>
      <c r="AYW143" s="181"/>
      <c r="AYX143" s="181"/>
      <c r="AYY143" s="181"/>
      <c r="AYZ143" s="181"/>
      <c r="AZA143" s="181"/>
      <c r="AZB143" s="181"/>
      <c r="AZC143" s="181"/>
      <c r="AZD143" s="181"/>
      <c r="AZE143" s="181"/>
      <c r="AZF143" s="181"/>
      <c r="AZG143" s="181"/>
      <c r="AZH143" s="181"/>
      <c r="AZI143" s="181"/>
      <c r="AZJ143" s="181"/>
      <c r="AZK143" s="181"/>
      <c r="AZL143" s="181"/>
      <c r="AZM143" s="181"/>
      <c r="AZN143" s="181"/>
      <c r="AZO143" s="181"/>
      <c r="AZP143" s="181"/>
      <c r="AZQ143" s="181"/>
      <c r="AZR143" s="181"/>
      <c r="AZS143" s="181"/>
      <c r="AZT143" s="181"/>
      <c r="AZU143" s="181"/>
      <c r="AZV143" s="181"/>
      <c r="AZW143" s="181"/>
      <c r="AZX143" s="181"/>
      <c r="AZY143" s="181"/>
      <c r="AZZ143" s="181"/>
      <c r="BAA143" s="181"/>
      <c r="BAB143" s="181"/>
      <c r="BAC143" s="181"/>
      <c r="BAD143" s="181"/>
      <c r="BAE143" s="181"/>
      <c r="BAF143" s="181"/>
      <c r="BAG143" s="181"/>
      <c r="BAH143" s="181"/>
      <c r="BAI143" s="181"/>
      <c r="BAJ143" s="181"/>
      <c r="BAK143" s="181"/>
      <c r="BAL143" s="181"/>
      <c r="BAM143" s="181"/>
      <c r="BAN143" s="181"/>
      <c r="BAO143" s="181"/>
      <c r="BAP143" s="181"/>
      <c r="BAQ143" s="181"/>
      <c r="BAR143" s="181"/>
      <c r="BAS143" s="181"/>
      <c r="BAT143" s="181"/>
      <c r="BAU143" s="181"/>
      <c r="BAV143" s="181"/>
      <c r="BAW143" s="181"/>
      <c r="BAX143" s="181"/>
      <c r="BAY143" s="181"/>
      <c r="BAZ143" s="181"/>
      <c r="BBA143" s="181"/>
      <c r="BBB143" s="181"/>
      <c r="BBC143" s="181"/>
      <c r="BBD143" s="181"/>
      <c r="BBE143" s="181"/>
      <c r="BBF143" s="181"/>
      <c r="BBG143" s="181"/>
      <c r="BBH143" s="181"/>
      <c r="BBI143" s="181"/>
      <c r="BBJ143" s="181"/>
      <c r="BBK143" s="181"/>
      <c r="BBL143" s="181"/>
      <c r="BBM143" s="181"/>
      <c r="BBN143" s="181"/>
      <c r="BBO143" s="181"/>
      <c r="BBP143" s="181"/>
      <c r="BBQ143" s="181"/>
      <c r="BBR143" s="181"/>
      <c r="BBS143" s="181"/>
      <c r="BBT143" s="181"/>
      <c r="BBU143" s="181"/>
      <c r="BBV143" s="181"/>
      <c r="BBW143" s="181"/>
      <c r="BBX143" s="181"/>
      <c r="BBY143" s="181"/>
      <c r="BBZ143" s="181"/>
      <c r="BCA143" s="181"/>
      <c r="BCB143" s="181"/>
      <c r="BCC143" s="181"/>
      <c r="BCD143" s="181"/>
      <c r="BCE143" s="181"/>
      <c r="BCF143" s="181"/>
      <c r="BCG143" s="181"/>
      <c r="BCH143" s="181"/>
      <c r="BCI143" s="181"/>
      <c r="BCJ143" s="181"/>
      <c r="BCK143" s="181"/>
      <c r="BCL143" s="181"/>
      <c r="BCM143" s="181"/>
      <c r="BCN143" s="181"/>
      <c r="BCO143" s="181"/>
      <c r="BCP143" s="181"/>
      <c r="BCQ143" s="181"/>
      <c r="BCR143" s="181"/>
      <c r="BCS143" s="181"/>
      <c r="BCT143" s="181"/>
      <c r="BCU143" s="181"/>
      <c r="BCV143" s="181"/>
      <c r="BCW143" s="181"/>
      <c r="BCX143" s="181"/>
      <c r="BCY143" s="181"/>
      <c r="BCZ143" s="181"/>
      <c r="BDA143" s="181"/>
      <c r="BDB143" s="181"/>
      <c r="BDC143" s="181"/>
      <c r="BDD143" s="181"/>
      <c r="BDE143" s="181"/>
      <c r="BDF143" s="181"/>
      <c r="BDG143" s="181"/>
      <c r="BDH143" s="181"/>
      <c r="BDI143" s="181"/>
      <c r="BDJ143" s="181"/>
      <c r="BDK143" s="181"/>
      <c r="BDL143" s="181"/>
      <c r="BDM143" s="181"/>
      <c r="BDN143" s="181"/>
      <c r="BDO143" s="181"/>
      <c r="BDP143" s="181"/>
      <c r="BDQ143" s="181"/>
      <c r="BDR143" s="181"/>
      <c r="BDS143" s="181"/>
      <c r="BDT143" s="181"/>
      <c r="BDU143" s="181"/>
      <c r="BDV143" s="181"/>
      <c r="BDW143" s="181"/>
      <c r="BDX143" s="181"/>
      <c r="BDY143" s="181"/>
      <c r="BDZ143" s="181"/>
      <c r="BEA143" s="181"/>
      <c r="BEB143" s="181"/>
      <c r="BEC143" s="181"/>
      <c r="BED143" s="181"/>
      <c r="BEE143" s="181"/>
      <c r="BEF143" s="181"/>
      <c r="BEG143" s="181"/>
      <c r="BEH143" s="181"/>
      <c r="BEI143" s="181"/>
      <c r="BEJ143" s="181"/>
      <c r="BEK143" s="181"/>
      <c r="BEL143" s="181"/>
      <c r="BEM143" s="181"/>
      <c r="BEN143" s="181"/>
      <c r="BEO143" s="181"/>
      <c r="BEP143" s="181"/>
      <c r="BEQ143" s="181"/>
      <c r="BER143" s="181"/>
      <c r="BES143" s="181"/>
      <c r="BET143" s="181"/>
      <c r="BEU143" s="181"/>
      <c r="BEV143" s="181"/>
      <c r="BEW143" s="181"/>
      <c r="BEX143" s="181"/>
      <c r="BEY143" s="181"/>
      <c r="BEZ143" s="181"/>
      <c r="BFA143" s="181"/>
      <c r="BFB143" s="181"/>
      <c r="BFC143" s="181"/>
      <c r="BFD143" s="181"/>
      <c r="BFE143" s="181"/>
      <c r="BFF143" s="181"/>
      <c r="BFG143" s="181"/>
      <c r="BFH143" s="181"/>
      <c r="BFI143" s="181"/>
      <c r="BFJ143" s="181"/>
      <c r="BFK143" s="181"/>
      <c r="BFL143" s="181"/>
      <c r="BFM143" s="181"/>
      <c r="BFN143" s="181"/>
      <c r="BFO143" s="181"/>
      <c r="BFP143" s="181"/>
      <c r="BFQ143" s="181"/>
      <c r="BFR143" s="181"/>
      <c r="BFS143" s="181"/>
      <c r="BFT143" s="181"/>
      <c r="BFU143" s="181"/>
      <c r="BFV143" s="181"/>
      <c r="BFW143" s="181"/>
      <c r="BFX143" s="181"/>
      <c r="BFY143" s="181"/>
      <c r="BFZ143" s="181"/>
      <c r="BGA143" s="181"/>
      <c r="BGB143" s="181"/>
      <c r="BGC143" s="181"/>
      <c r="BGD143" s="181"/>
      <c r="BGE143" s="181"/>
      <c r="BGF143" s="181"/>
      <c r="BGG143" s="181"/>
      <c r="BGH143" s="181"/>
      <c r="BGI143" s="181"/>
      <c r="BGJ143" s="181"/>
      <c r="BGK143" s="181"/>
      <c r="BGL143" s="181"/>
      <c r="BGM143" s="181"/>
      <c r="BGN143" s="181"/>
      <c r="BGO143" s="181"/>
      <c r="BGP143" s="181"/>
      <c r="BGQ143" s="181"/>
      <c r="BGR143" s="181"/>
      <c r="BGS143" s="181"/>
      <c r="BGT143" s="181"/>
      <c r="BGU143" s="181"/>
      <c r="BGV143" s="181"/>
      <c r="BGW143" s="181"/>
      <c r="BGX143" s="181"/>
      <c r="BGY143" s="181"/>
      <c r="BGZ143" s="181"/>
      <c r="BHA143" s="181"/>
      <c r="BHB143" s="181"/>
      <c r="BHC143" s="181"/>
      <c r="BHD143" s="181"/>
      <c r="BHE143" s="181"/>
      <c r="BHF143" s="181"/>
      <c r="BHG143" s="181"/>
      <c r="BHH143" s="181"/>
      <c r="BHI143" s="181"/>
      <c r="BHJ143" s="181"/>
      <c r="BHK143" s="181"/>
      <c r="BHL143" s="181"/>
      <c r="BHM143" s="181"/>
      <c r="BHN143" s="181"/>
      <c r="BHO143" s="181"/>
      <c r="BHP143" s="181"/>
      <c r="BHQ143" s="181"/>
      <c r="BHR143" s="181"/>
      <c r="BHS143" s="181"/>
      <c r="BHT143" s="181"/>
      <c r="BHU143" s="181"/>
      <c r="BHV143" s="181"/>
      <c r="BHW143" s="181"/>
      <c r="BHX143" s="181"/>
      <c r="BHY143" s="181"/>
      <c r="BHZ143" s="181"/>
      <c r="BIA143" s="181"/>
      <c r="BIB143" s="181"/>
      <c r="BIC143" s="181"/>
      <c r="BID143" s="181"/>
      <c r="BIE143" s="181"/>
      <c r="BIF143" s="181"/>
      <c r="BIG143" s="181"/>
      <c r="BIH143" s="181"/>
      <c r="BII143" s="181"/>
      <c r="BIJ143" s="181"/>
      <c r="BIK143" s="181"/>
      <c r="BIL143" s="181"/>
      <c r="BIM143" s="181"/>
      <c r="BIN143" s="181"/>
      <c r="BIO143" s="181"/>
      <c r="BIP143" s="181"/>
      <c r="BIQ143" s="181"/>
      <c r="BIR143" s="181"/>
      <c r="BIS143" s="181"/>
      <c r="BIT143" s="181"/>
      <c r="BIU143" s="181"/>
      <c r="BIV143" s="181"/>
      <c r="BIW143" s="181"/>
      <c r="BIX143" s="181"/>
      <c r="BIY143" s="181"/>
      <c r="BIZ143" s="181"/>
      <c r="BJA143" s="181"/>
      <c r="BJB143" s="181"/>
      <c r="BJC143" s="181"/>
      <c r="BJD143" s="181"/>
      <c r="BJE143" s="181"/>
      <c r="BJF143" s="181"/>
      <c r="BJG143" s="181"/>
      <c r="BJH143" s="181"/>
      <c r="BJI143" s="181"/>
      <c r="BJJ143" s="181"/>
      <c r="BJK143" s="181"/>
      <c r="BJL143" s="181"/>
      <c r="BJM143" s="181"/>
      <c r="BJN143" s="181"/>
      <c r="BJO143" s="181"/>
      <c r="BJP143" s="181"/>
      <c r="BJQ143" s="181"/>
      <c r="BJR143" s="181"/>
      <c r="BJS143" s="181"/>
      <c r="BJT143" s="181"/>
      <c r="BJU143" s="181"/>
      <c r="BJV143" s="181"/>
      <c r="BJW143" s="181"/>
      <c r="BJX143" s="181"/>
      <c r="BJY143" s="181"/>
      <c r="BJZ143" s="181"/>
      <c r="BKA143" s="181"/>
      <c r="BKB143" s="181"/>
      <c r="BKC143" s="181"/>
      <c r="BKD143" s="181"/>
      <c r="BKE143" s="181"/>
      <c r="BKF143" s="181"/>
      <c r="BKG143" s="181"/>
      <c r="BKH143" s="181"/>
      <c r="BKI143" s="181"/>
      <c r="BKJ143" s="181"/>
      <c r="BKK143" s="181"/>
      <c r="BKL143" s="181"/>
      <c r="BKM143" s="181"/>
      <c r="BKN143" s="181"/>
      <c r="BKO143" s="181"/>
      <c r="BKP143" s="181"/>
      <c r="BKQ143" s="181"/>
      <c r="BKR143" s="181"/>
      <c r="BKS143" s="181"/>
      <c r="BKT143" s="181"/>
      <c r="BKU143" s="181"/>
      <c r="BKV143" s="181"/>
      <c r="BKW143" s="181"/>
      <c r="BKX143" s="181"/>
      <c r="BKY143" s="181"/>
      <c r="BKZ143" s="181"/>
      <c r="BLA143" s="181"/>
      <c r="BLB143" s="181"/>
      <c r="BLC143" s="181"/>
      <c r="BLD143" s="181"/>
      <c r="BLE143" s="181"/>
      <c r="BLF143" s="181"/>
      <c r="BLG143" s="181"/>
      <c r="BLH143" s="181"/>
      <c r="BLI143" s="181"/>
      <c r="BLJ143" s="181"/>
      <c r="BLK143" s="181"/>
      <c r="BLL143" s="181"/>
      <c r="BLM143" s="181"/>
      <c r="BLN143" s="181"/>
      <c r="BLO143" s="181"/>
      <c r="BLP143" s="181"/>
      <c r="BLQ143" s="181"/>
      <c r="BLR143" s="181"/>
      <c r="BLS143" s="181"/>
      <c r="BLT143" s="181"/>
      <c r="BLU143" s="181"/>
      <c r="BLV143" s="181"/>
      <c r="BLW143" s="181"/>
      <c r="BLX143" s="181"/>
      <c r="BLY143" s="181"/>
      <c r="BLZ143" s="181"/>
      <c r="BMA143" s="181"/>
      <c r="BMB143" s="181"/>
      <c r="BMC143" s="181"/>
      <c r="BMD143" s="181"/>
      <c r="BME143" s="181"/>
      <c r="BMF143" s="181"/>
      <c r="BMG143" s="181"/>
      <c r="BMH143" s="181"/>
      <c r="BMI143" s="181"/>
      <c r="BMJ143" s="181"/>
      <c r="BMK143" s="181"/>
      <c r="BML143" s="181"/>
      <c r="BMM143" s="181"/>
      <c r="BMN143" s="181"/>
      <c r="BMO143" s="181"/>
      <c r="BMP143" s="181"/>
      <c r="BMQ143" s="181"/>
      <c r="BMR143" s="181"/>
      <c r="BMS143" s="181"/>
      <c r="BMT143" s="181"/>
      <c r="BMU143" s="181"/>
      <c r="BMV143" s="181"/>
      <c r="BMW143" s="181"/>
      <c r="BMX143" s="181"/>
      <c r="BMY143" s="181"/>
      <c r="BMZ143" s="181"/>
      <c r="BNA143" s="181"/>
      <c r="BNB143" s="181"/>
      <c r="BNC143" s="181"/>
      <c r="BND143" s="181"/>
      <c r="BNE143" s="181"/>
      <c r="BNF143" s="181"/>
      <c r="BNG143" s="181"/>
      <c r="BNH143" s="181"/>
      <c r="BNI143" s="181"/>
      <c r="BNJ143" s="181"/>
      <c r="BNK143" s="181"/>
      <c r="BNL143" s="181"/>
      <c r="BNM143" s="181"/>
      <c r="BNN143" s="181"/>
      <c r="BNO143" s="181"/>
      <c r="BNP143" s="181"/>
      <c r="BNQ143" s="181"/>
      <c r="BNR143" s="181"/>
      <c r="BNS143" s="181"/>
      <c r="BNT143" s="181"/>
      <c r="BNU143" s="181"/>
      <c r="BNV143" s="181"/>
      <c r="BNW143" s="181"/>
      <c r="BNX143" s="181"/>
      <c r="BNY143" s="181"/>
      <c r="BNZ143" s="181"/>
      <c r="BOA143" s="181"/>
      <c r="BOB143" s="181"/>
      <c r="BOC143" s="181"/>
      <c r="BOD143" s="181"/>
      <c r="BOE143" s="181"/>
      <c r="BOF143" s="181"/>
      <c r="BOG143" s="181"/>
      <c r="BOH143" s="181"/>
      <c r="BOI143" s="181"/>
      <c r="BOJ143" s="181"/>
      <c r="BOK143" s="181"/>
      <c r="BOL143" s="181"/>
      <c r="BOM143" s="181"/>
      <c r="BON143" s="181"/>
      <c r="BOO143" s="181"/>
      <c r="BOP143" s="181"/>
      <c r="BOQ143" s="181"/>
      <c r="BOR143" s="181"/>
      <c r="BOS143" s="181"/>
      <c r="BOT143" s="181"/>
      <c r="BOU143" s="181"/>
      <c r="BOV143" s="181"/>
      <c r="BOW143" s="181"/>
      <c r="BOX143" s="181"/>
      <c r="BOY143" s="181"/>
      <c r="BOZ143" s="181"/>
      <c r="BPA143" s="181"/>
      <c r="BPB143" s="181"/>
      <c r="BPC143" s="181"/>
      <c r="BPD143" s="181"/>
      <c r="BPE143" s="181"/>
      <c r="BPF143" s="181"/>
      <c r="BPG143" s="181"/>
      <c r="BPH143" s="181"/>
      <c r="BPI143" s="181"/>
      <c r="BPJ143" s="181"/>
      <c r="BPK143" s="181"/>
      <c r="BPL143" s="181"/>
      <c r="BPM143" s="181"/>
      <c r="BPN143" s="181"/>
      <c r="BPO143" s="181"/>
      <c r="BPP143" s="181"/>
      <c r="BPQ143" s="181"/>
      <c r="BPR143" s="181"/>
      <c r="BPS143" s="181"/>
      <c r="BPT143" s="181"/>
      <c r="BPU143" s="181"/>
      <c r="BPV143" s="181"/>
      <c r="BPW143" s="181"/>
      <c r="BPX143" s="181"/>
      <c r="BPY143" s="181"/>
      <c r="BPZ143" s="181"/>
      <c r="BQA143" s="181"/>
      <c r="BQB143" s="181"/>
      <c r="BQC143" s="181"/>
      <c r="BQD143" s="181"/>
      <c r="BQE143" s="181"/>
      <c r="BQF143" s="181"/>
      <c r="BQG143" s="181"/>
      <c r="BQH143" s="181"/>
      <c r="BQI143" s="181"/>
      <c r="BQJ143" s="181"/>
      <c r="BQK143" s="181"/>
      <c r="BQL143" s="181"/>
      <c r="BQM143" s="181"/>
      <c r="BQN143" s="181"/>
      <c r="BQO143" s="181"/>
      <c r="BQP143" s="181"/>
      <c r="BQQ143" s="181"/>
      <c r="BQR143" s="181"/>
      <c r="BQS143" s="181"/>
      <c r="BQT143" s="181"/>
      <c r="BQU143" s="181"/>
      <c r="BQV143" s="181"/>
      <c r="BQW143" s="181"/>
      <c r="BQX143" s="181"/>
      <c r="BQY143" s="181"/>
      <c r="BQZ143" s="181"/>
      <c r="BRA143" s="181"/>
      <c r="BRB143" s="181"/>
      <c r="BRC143" s="181"/>
      <c r="BRD143" s="181"/>
      <c r="BRE143" s="181"/>
      <c r="BRF143" s="181"/>
      <c r="BRG143" s="181"/>
      <c r="BRH143" s="181"/>
      <c r="BRI143" s="181"/>
      <c r="BRJ143" s="181"/>
      <c r="BRK143" s="181"/>
      <c r="BRL143" s="181"/>
      <c r="BRM143" s="181"/>
      <c r="BRN143" s="181"/>
      <c r="BRO143" s="181"/>
      <c r="BRP143" s="181"/>
      <c r="BRQ143" s="181"/>
      <c r="BRR143" s="181"/>
      <c r="BRS143" s="181"/>
      <c r="BRT143" s="181"/>
      <c r="BRU143" s="181"/>
      <c r="BRV143" s="181"/>
      <c r="BRW143" s="181"/>
      <c r="BRX143" s="181"/>
      <c r="BRY143" s="181"/>
      <c r="BRZ143" s="181"/>
      <c r="BSA143" s="181"/>
      <c r="BSB143" s="181"/>
      <c r="BSC143" s="181"/>
      <c r="BSD143" s="181"/>
      <c r="BSE143" s="181"/>
      <c r="BSF143" s="181"/>
      <c r="BSG143" s="181"/>
      <c r="BSH143" s="181"/>
      <c r="BSI143" s="181"/>
      <c r="BSJ143" s="181"/>
      <c r="BSK143" s="181"/>
      <c r="BSL143" s="181"/>
      <c r="BSM143" s="181"/>
      <c r="BSN143" s="181"/>
      <c r="BSO143" s="181"/>
      <c r="BSP143" s="181"/>
      <c r="BSQ143" s="181"/>
      <c r="BSR143" s="181"/>
      <c r="BSS143" s="181"/>
      <c r="BST143" s="181"/>
      <c r="BSU143" s="181"/>
      <c r="BSV143" s="181"/>
      <c r="BSW143" s="181"/>
      <c r="BSX143" s="181"/>
      <c r="BSY143" s="181"/>
      <c r="BSZ143" s="181"/>
      <c r="BTA143" s="181"/>
      <c r="BTB143" s="181"/>
      <c r="BTC143" s="181"/>
      <c r="BTD143" s="181"/>
      <c r="BTE143" s="181"/>
      <c r="BTF143" s="181"/>
      <c r="BTG143" s="181"/>
      <c r="BTH143" s="181"/>
      <c r="BTI143" s="181"/>
      <c r="BTJ143" s="181"/>
      <c r="BTK143" s="181"/>
      <c r="BTL143" s="181"/>
      <c r="BTM143" s="181"/>
      <c r="BTN143" s="181"/>
      <c r="BTO143" s="181"/>
      <c r="BTP143" s="181"/>
      <c r="BTQ143" s="181"/>
      <c r="BTR143" s="181"/>
      <c r="BTS143" s="181"/>
      <c r="BTT143" s="181"/>
      <c r="BTU143" s="181"/>
      <c r="BTV143" s="181"/>
      <c r="BTW143" s="181"/>
      <c r="BTX143" s="181"/>
      <c r="BTY143" s="181"/>
      <c r="BTZ143" s="181"/>
      <c r="BUA143" s="181"/>
      <c r="BUB143" s="181"/>
      <c r="BUC143" s="181"/>
      <c r="BUD143" s="181"/>
      <c r="BUE143" s="181"/>
      <c r="BUF143" s="181"/>
      <c r="BUG143" s="181"/>
      <c r="BUH143" s="181"/>
      <c r="BUI143" s="181"/>
      <c r="BUJ143" s="181"/>
      <c r="BUK143" s="181"/>
      <c r="BUL143" s="181"/>
      <c r="BUM143" s="181"/>
      <c r="BUN143" s="181"/>
      <c r="BUO143" s="181"/>
      <c r="BUP143" s="181"/>
      <c r="BUQ143" s="181"/>
      <c r="BUR143" s="181"/>
      <c r="BUS143" s="181"/>
      <c r="BUT143" s="181"/>
      <c r="BUU143" s="181"/>
      <c r="BUV143" s="181"/>
      <c r="BUW143" s="181"/>
      <c r="BUX143" s="181"/>
      <c r="BUY143" s="181"/>
      <c r="BUZ143" s="181"/>
      <c r="BVA143" s="181"/>
      <c r="BVB143" s="181"/>
      <c r="BVC143" s="181"/>
      <c r="BVD143" s="181"/>
      <c r="BVE143" s="181"/>
      <c r="BVF143" s="181"/>
      <c r="BVG143" s="181"/>
      <c r="BVH143" s="181"/>
      <c r="BVI143" s="181"/>
      <c r="BVJ143" s="181"/>
      <c r="BVK143" s="181"/>
      <c r="BVL143" s="181"/>
      <c r="BVM143" s="181"/>
      <c r="BVN143" s="181"/>
      <c r="BVO143" s="181"/>
      <c r="BVP143" s="181"/>
      <c r="BVQ143" s="181"/>
      <c r="BVR143" s="181"/>
      <c r="BVS143" s="181"/>
      <c r="BVT143" s="181"/>
      <c r="BVU143" s="181"/>
      <c r="BVV143" s="181"/>
      <c r="BVW143" s="181"/>
      <c r="BVX143" s="181"/>
      <c r="BVY143" s="181"/>
      <c r="BVZ143" s="181"/>
      <c r="BWA143" s="181"/>
      <c r="BWB143" s="181"/>
      <c r="BWC143" s="181"/>
      <c r="BWD143" s="181"/>
      <c r="BWE143" s="181"/>
      <c r="BWF143" s="181"/>
      <c r="BWG143" s="181"/>
      <c r="BWH143" s="181"/>
      <c r="BWI143" s="181"/>
      <c r="BWJ143" s="181"/>
      <c r="BWK143" s="181"/>
      <c r="BWL143" s="181"/>
      <c r="BWM143" s="181"/>
      <c r="BWN143" s="181"/>
      <c r="BWO143" s="181"/>
      <c r="BWP143" s="181"/>
      <c r="BWQ143" s="181"/>
      <c r="BWR143" s="181"/>
      <c r="BWS143" s="181"/>
      <c r="BWT143" s="181"/>
      <c r="BWU143" s="181"/>
      <c r="BWV143" s="181"/>
      <c r="BWW143" s="181"/>
      <c r="BWX143" s="181"/>
      <c r="BWY143" s="181"/>
      <c r="BWZ143" s="181"/>
      <c r="BXA143" s="181"/>
      <c r="BXB143" s="181"/>
      <c r="BXC143" s="181"/>
      <c r="BXD143" s="181"/>
      <c r="BXE143" s="181"/>
      <c r="BXF143" s="181"/>
      <c r="BXG143" s="181"/>
      <c r="BXH143" s="181"/>
      <c r="BXI143" s="181"/>
      <c r="BXJ143" s="181"/>
      <c r="BXK143" s="181"/>
      <c r="BXL143" s="181"/>
      <c r="BXM143" s="181"/>
      <c r="BXN143" s="181"/>
      <c r="BXO143" s="181"/>
      <c r="BXP143" s="181"/>
      <c r="BXQ143" s="181"/>
      <c r="BXR143" s="181"/>
      <c r="BXS143" s="181"/>
      <c r="BXT143" s="181"/>
      <c r="BXU143" s="181"/>
      <c r="BXV143" s="181"/>
      <c r="BXW143" s="181"/>
      <c r="BXX143" s="181"/>
      <c r="BXY143" s="181"/>
      <c r="BXZ143" s="181"/>
      <c r="BYA143" s="181"/>
      <c r="BYB143" s="181"/>
      <c r="BYC143" s="181"/>
      <c r="BYD143" s="181"/>
      <c r="BYE143" s="181"/>
      <c r="BYF143" s="181"/>
      <c r="BYG143" s="181"/>
      <c r="BYH143" s="181"/>
      <c r="BYI143" s="181"/>
      <c r="BYJ143" s="181"/>
      <c r="BYK143" s="181"/>
      <c r="BYL143" s="181"/>
      <c r="BYM143" s="181"/>
      <c r="BYN143" s="181"/>
      <c r="BYO143" s="181"/>
      <c r="BYP143" s="181"/>
      <c r="BYQ143" s="181"/>
      <c r="BYR143" s="181"/>
      <c r="BYS143" s="181"/>
      <c r="BYT143" s="181"/>
      <c r="BYU143" s="181"/>
      <c r="BYV143" s="181"/>
      <c r="BYW143" s="181"/>
      <c r="BYX143" s="181"/>
      <c r="BYY143" s="181"/>
      <c r="BYZ143" s="181"/>
      <c r="BZA143" s="181"/>
      <c r="BZB143" s="181"/>
      <c r="BZC143" s="181"/>
      <c r="BZD143" s="181"/>
      <c r="BZE143" s="181"/>
      <c r="BZF143" s="181"/>
      <c r="BZG143" s="181"/>
      <c r="BZH143" s="181"/>
      <c r="BZI143" s="181"/>
      <c r="BZJ143" s="181"/>
      <c r="BZK143" s="181"/>
      <c r="BZL143" s="181"/>
      <c r="BZM143" s="181"/>
      <c r="BZN143" s="181"/>
      <c r="BZO143" s="181"/>
      <c r="BZP143" s="181"/>
      <c r="BZQ143" s="181"/>
      <c r="BZR143" s="181"/>
      <c r="BZS143" s="181"/>
      <c r="BZT143" s="181"/>
      <c r="BZU143" s="181"/>
      <c r="BZV143" s="181"/>
      <c r="BZW143" s="181"/>
      <c r="BZX143" s="181"/>
      <c r="BZY143" s="181"/>
      <c r="BZZ143" s="181"/>
      <c r="CAA143" s="181"/>
      <c r="CAB143" s="181"/>
      <c r="CAC143" s="181"/>
      <c r="CAD143" s="181"/>
      <c r="CAE143" s="181"/>
      <c r="CAF143" s="181"/>
      <c r="CAG143" s="181"/>
      <c r="CAH143" s="181"/>
      <c r="CAI143" s="181"/>
      <c r="CAJ143" s="181"/>
      <c r="CAK143" s="181"/>
      <c r="CAL143" s="181"/>
      <c r="CAM143" s="181"/>
      <c r="CAN143" s="181"/>
      <c r="CAO143" s="181"/>
      <c r="CAP143" s="181"/>
      <c r="CAQ143" s="181"/>
      <c r="CAR143" s="181"/>
      <c r="CAS143" s="181"/>
      <c r="CAT143" s="181"/>
      <c r="CAU143" s="181"/>
      <c r="CAV143" s="181"/>
      <c r="CAW143" s="181"/>
      <c r="CAX143" s="181"/>
      <c r="CAY143" s="181"/>
      <c r="CAZ143" s="181"/>
      <c r="CBA143" s="181"/>
      <c r="CBB143" s="181"/>
      <c r="CBC143" s="181"/>
      <c r="CBD143" s="181"/>
      <c r="CBE143" s="181"/>
      <c r="CBF143" s="181"/>
      <c r="CBG143" s="181"/>
      <c r="CBH143" s="181"/>
      <c r="CBI143" s="181"/>
      <c r="CBJ143" s="181"/>
      <c r="CBK143" s="181"/>
      <c r="CBL143" s="181"/>
      <c r="CBM143" s="181"/>
      <c r="CBN143" s="181"/>
      <c r="CBO143" s="181"/>
      <c r="CBP143" s="181"/>
      <c r="CBQ143" s="181"/>
      <c r="CBR143" s="181"/>
      <c r="CBS143" s="181"/>
      <c r="CBT143" s="181"/>
      <c r="CBU143" s="181"/>
      <c r="CBV143" s="181"/>
      <c r="CBW143" s="181"/>
      <c r="CBX143" s="181"/>
      <c r="CBY143" s="181"/>
      <c r="CBZ143" s="181"/>
      <c r="CCA143" s="181"/>
      <c r="CCB143" s="181"/>
      <c r="CCC143" s="181"/>
      <c r="CCD143" s="181"/>
      <c r="CCE143" s="181"/>
      <c r="CCF143" s="181"/>
      <c r="CCG143" s="181"/>
      <c r="CCH143" s="181"/>
      <c r="CCI143" s="181"/>
      <c r="CCJ143" s="181"/>
      <c r="CCK143" s="181"/>
      <c r="CCL143" s="181"/>
      <c r="CCM143" s="181"/>
      <c r="CCN143" s="181"/>
      <c r="CCO143" s="181"/>
      <c r="CCP143" s="181"/>
      <c r="CCQ143" s="181"/>
      <c r="CCR143" s="181"/>
      <c r="CCS143" s="181"/>
      <c r="CCT143" s="181"/>
      <c r="CCU143" s="181"/>
      <c r="CCV143" s="181"/>
      <c r="CCW143" s="181"/>
      <c r="CCX143" s="181"/>
      <c r="CCY143" s="181"/>
      <c r="CCZ143" s="181"/>
      <c r="CDA143" s="181"/>
      <c r="CDB143" s="181"/>
      <c r="CDC143" s="181"/>
      <c r="CDD143" s="181"/>
      <c r="CDE143" s="181"/>
      <c r="CDF143" s="181"/>
      <c r="CDG143" s="181"/>
      <c r="CDH143" s="181"/>
      <c r="CDI143" s="181"/>
      <c r="CDJ143" s="181"/>
      <c r="CDK143" s="181"/>
      <c r="CDL143" s="181"/>
      <c r="CDM143" s="181"/>
      <c r="CDN143" s="181"/>
      <c r="CDO143" s="181"/>
      <c r="CDP143" s="181"/>
      <c r="CDQ143" s="181"/>
      <c r="CDR143" s="181"/>
      <c r="CDS143" s="181"/>
      <c r="CDT143" s="181"/>
      <c r="CDU143" s="181"/>
      <c r="CDV143" s="181"/>
      <c r="CDW143" s="181"/>
      <c r="CDX143" s="181"/>
      <c r="CDY143" s="181"/>
      <c r="CDZ143" s="181"/>
      <c r="CEA143" s="181"/>
      <c r="CEB143" s="181"/>
      <c r="CEC143" s="181"/>
      <c r="CED143" s="181"/>
      <c r="CEE143" s="181"/>
      <c r="CEF143" s="181"/>
      <c r="CEG143" s="181"/>
      <c r="CEH143" s="181"/>
      <c r="CEI143" s="181"/>
      <c r="CEJ143" s="181"/>
      <c r="CEK143" s="181"/>
      <c r="CEL143" s="181"/>
      <c r="CEM143" s="181"/>
      <c r="CEN143" s="181"/>
      <c r="CEO143" s="181"/>
      <c r="CEP143" s="181"/>
      <c r="CEQ143" s="181"/>
      <c r="CER143" s="181"/>
      <c r="CES143" s="181"/>
      <c r="CET143" s="181"/>
      <c r="CEU143" s="181"/>
      <c r="CEV143" s="181"/>
      <c r="CEW143" s="181"/>
      <c r="CEX143" s="181"/>
      <c r="CEY143" s="181"/>
      <c r="CEZ143" s="181"/>
      <c r="CFA143" s="181"/>
      <c r="CFB143" s="181"/>
      <c r="CFC143" s="181"/>
      <c r="CFD143" s="181"/>
      <c r="CFE143" s="181"/>
      <c r="CFF143" s="181"/>
      <c r="CFG143" s="181"/>
      <c r="CFH143" s="181"/>
      <c r="CFI143" s="181"/>
      <c r="CFJ143" s="181"/>
      <c r="CFK143" s="181"/>
      <c r="CFL143" s="181"/>
      <c r="CFM143" s="181"/>
      <c r="CFN143" s="181"/>
      <c r="CFO143" s="181"/>
      <c r="CFP143" s="181"/>
      <c r="CFQ143" s="181"/>
      <c r="CFR143" s="181"/>
      <c r="CFS143" s="181"/>
      <c r="CFT143" s="181"/>
      <c r="CFU143" s="181"/>
      <c r="CFV143" s="181"/>
      <c r="CFW143" s="181"/>
      <c r="CFX143" s="181"/>
      <c r="CFY143" s="181"/>
      <c r="CFZ143" s="181"/>
      <c r="CGA143" s="181"/>
      <c r="CGB143" s="181"/>
      <c r="CGC143" s="181"/>
      <c r="CGD143" s="181"/>
      <c r="CGE143" s="181"/>
      <c r="CGF143" s="181"/>
      <c r="CGG143" s="181"/>
      <c r="CGH143" s="181"/>
      <c r="CGI143" s="181"/>
      <c r="CGJ143" s="181"/>
      <c r="CGK143" s="181"/>
      <c r="CGL143" s="181"/>
      <c r="CGM143" s="181"/>
      <c r="CGN143" s="181"/>
      <c r="CGO143" s="181"/>
      <c r="CGP143" s="181"/>
      <c r="CGQ143" s="181"/>
      <c r="CGR143" s="181"/>
      <c r="CGS143" s="181"/>
      <c r="CGT143" s="181"/>
      <c r="CGU143" s="181"/>
      <c r="CGV143" s="181"/>
      <c r="CGW143" s="181"/>
      <c r="CGX143" s="181"/>
      <c r="CGY143" s="181"/>
      <c r="CGZ143" s="181"/>
      <c r="CHA143" s="181"/>
      <c r="CHB143" s="181"/>
      <c r="CHC143" s="181"/>
      <c r="CHD143" s="181"/>
      <c r="CHE143" s="181"/>
      <c r="CHF143" s="181"/>
      <c r="CHG143" s="181"/>
      <c r="CHH143" s="181"/>
      <c r="CHI143" s="181"/>
      <c r="CHJ143" s="181"/>
      <c r="CHK143" s="181"/>
      <c r="CHL143" s="181"/>
      <c r="CHM143" s="181"/>
      <c r="CHN143" s="181"/>
      <c r="CHO143" s="181"/>
      <c r="CHP143" s="181"/>
      <c r="CHQ143" s="181"/>
      <c r="CHR143" s="181"/>
      <c r="CHS143" s="181"/>
      <c r="CHT143" s="181"/>
      <c r="CHU143" s="181"/>
      <c r="CHV143" s="181"/>
      <c r="CHW143" s="181"/>
      <c r="CHX143" s="181"/>
      <c r="CHY143" s="181"/>
      <c r="CHZ143" s="181"/>
      <c r="CIA143" s="181"/>
      <c r="CIB143" s="181"/>
      <c r="CIC143" s="181"/>
      <c r="CID143" s="181"/>
      <c r="CIE143" s="181"/>
      <c r="CIF143" s="181"/>
      <c r="CIG143" s="181"/>
      <c r="CIH143" s="181"/>
      <c r="CII143" s="181"/>
      <c r="CIJ143" s="181"/>
      <c r="CIK143" s="181"/>
      <c r="CIL143" s="181"/>
      <c r="CIM143" s="181"/>
      <c r="CIN143" s="181"/>
      <c r="CIO143" s="181"/>
      <c r="CIP143" s="181"/>
      <c r="CIQ143" s="181"/>
      <c r="CIR143" s="181"/>
      <c r="CIS143" s="181"/>
      <c r="CIT143" s="181"/>
      <c r="CIU143" s="181"/>
      <c r="CIV143" s="181"/>
      <c r="CIW143" s="181"/>
      <c r="CIX143" s="181"/>
      <c r="CIY143" s="181"/>
      <c r="CIZ143" s="181"/>
      <c r="CJA143" s="181"/>
      <c r="CJB143" s="181"/>
      <c r="CJC143" s="181"/>
      <c r="CJD143" s="181"/>
      <c r="CJE143" s="181"/>
      <c r="CJF143" s="181"/>
      <c r="CJG143" s="181"/>
      <c r="CJH143" s="181"/>
      <c r="CJI143" s="181"/>
      <c r="CJJ143" s="181"/>
      <c r="CJK143" s="181"/>
      <c r="CJL143" s="181"/>
      <c r="CJM143" s="181"/>
      <c r="CJN143" s="181"/>
      <c r="CJO143" s="181"/>
      <c r="CJP143" s="181"/>
      <c r="CJQ143" s="181"/>
      <c r="CJR143" s="181"/>
      <c r="CJS143" s="181"/>
      <c r="CJT143" s="181"/>
      <c r="CJU143" s="181"/>
      <c r="CJV143" s="181"/>
      <c r="CJW143" s="181"/>
      <c r="CJX143" s="181"/>
      <c r="CJY143" s="181"/>
      <c r="CJZ143" s="181"/>
      <c r="CKA143" s="181"/>
      <c r="CKB143" s="181"/>
      <c r="CKC143" s="181"/>
      <c r="CKD143" s="181"/>
      <c r="CKE143" s="181"/>
      <c r="CKF143" s="181"/>
      <c r="CKG143" s="181"/>
      <c r="CKH143" s="181"/>
      <c r="CKI143" s="181"/>
      <c r="CKJ143" s="181"/>
      <c r="CKK143" s="181"/>
      <c r="CKL143" s="181"/>
      <c r="CKM143" s="181"/>
      <c r="CKN143" s="181"/>
      <c r="CKO143" s="181"/>
      <c r="CKP143" s="181"/>
      <c r="CKQ143" s="181"/>
      <c r="CKR143" s="181"/>
      <c r="CKS143" s="181"/>
      <c r="CKT143" s="181"/>
      <c r="CKU143" s="181"/>
      <c r="CKV143" s="181"/>
      <c r="CKW143" s="181"/>
      <c r="CKX143" s="181"/>
      <c r="CKY143" s="181"/>
      <c r="CKZ143" s="181"/>
      <c r="CLA143" s="181"/>
      <c r="CLB143" s="181"/>
      <c r="CLC143" s="181"/>
      <c r="CLD143" s="181"/>
      <c r="CLE143" s="181"/>
      <c r="CLF143" s="181"/>
      <c r="CLG143" s="181"/>
      <c r="CLH143" s="181"/>
      <c r="CLI143" s="181"/>
      <c r="CLJ143" s="181"/>
      <c r="CLK143" s="181"/>
      <c r="CLL143" s="181"/>
      <c r="CLM143" s="181"/>
      <c r="CLN143" s="181"/>
      <c r="CLO143" s="181"/>
      <c r="CLP143" s="181"/>
      <c r="CLQ143" s="181"/>
      <c r="CLR143" s="181"/>
      <c r="CLS143" s="181"/>
      <c r="CLT143" s="181"/>
      <c r="CLU143" s="181"/>
      <c r="CLV143" s="181"/>
      <c r="CLW143" s="181"/>
      <c r="CLX143" s="181"/>
      <c r="CLY143" s="181"/>
      <c r="CLZ143" s="181"/>
      <c r="CMA143" s="181"/>
      <c r="CMB143" s="181"/>
      <c r="CMC143" s="181"/>
      <c r="CMD143" s="181"/>
      <c r="CME143" s="181"/>
      <c r="CMF143" s="181"/>
      <c r="CMG143" s="181"/>
      <c r="CMH143" s="181"/>
      <c r="CMI143" s="181"/>
      <c r="CMJ143" s="181"/>
      <c r="CMK143" s="181"/>
      <c r="CML143" s="181"/>
      <c r="CMM143" s="181"/>
      <c r="CMN143" s="181"/>
      <c r="CMO143" s="181"/>
      <c r="CMP143" s="181"/>
      <c r="CMQ143" s="181"/>
      <c r="CMR143" s="181"/>
      <c r="CMS143" s="181"/>
      <c r="CMT143" s="181"/>
      <c r="CMU143" s="181"/>
      <c r="CMV143" s="181"/>
      <c r="CMW143" s="181"/>
      <c r="CMX143" s="181"/>
      <c r="CMY143" s="181"/>
      <c r="CMZ143" s="181"/>
      <c r="CNA143" s="181"/>
      <c r="CNB143" s="181"/>
      <c r="CNC143" s="181"/>
      <c r="CND143" s="181"/>
      <c r="CNE143" s="181"/>
      <c r="CNF143" s="181"/>
      <c r="CNG143" s="181"/>
      <c r="CNH143" s="181"/>
      <c r="CNI143" s="181"/>
      <c r="CNJ143" s="181"/>
      <c r="CNK143" s="181"/>
      <c r="CNL143" s="181"/>
      <c r="CNM143" s="181"/>
      <c r="CNN143" s="181"/>
      <c r="CNO143" s="181"/>
      <c r="CNP143" s="181"/>
      <c r="CNQ143" s="181"/>
      <c r="CNR143" s="181"/>
      <c r="CNS143" s="181"/>
      <c r="CNT143" s="181"/>
      <c r="CNU143" s="181"/>
      <c r="CNV143" s="181"/>
      <c r="CNW143" s="181"/>
      <c r="CNX143" s="181"/>
      <c r="CNY143" s="181"/>
      <c r="CNZ143" s="181"/>
      <c r="COA143" s="181"/>
      <c r="COB143" s="181"/>
      <c r="COC143" s="181"/>
      <c r="COD143" s="181"/>
      <c r="COE143" s="181"/>
      <c r="COF143" s="181"/>
      <c r="COG143" s="181"/>
      <c r="COH143" s="181"/>
      <c r="COI143" s="181"/>
      <c r="COJ143" s="181"/>
      <c r="COK143" s="181"/>
      <c r="COL143" s="181"/>
      <c r="COM143" s="181"/>
      <c r="CON143" s="181"/>
      <c r="COO143" s="181"/>
      <c r="COP143" s="181"/>
      <c r="COQ143" s="181"/>
      <c r="COR143" s="181"/>
      <c r="COS143" s="181"/>
      <c r="COT143" s="181"/>
      <c r="COU143" s="181"/>
      <c r="COV143" s="181"/>
      <c r="COW143" s="181"/>
      <c r="COX143" s="181"/>
      <c r="COY143" s="181"/>
      <c r="COZ143" s="181"/>
      <c r="CPA143" s="181"/>
      <c r="CPB143" s="181"/>
      <c r="CPC143" s="181"/>
      <c r="CPD143" s="181"/>
      <c r="CPE143" s="181"/>
      <c r="CPF143" s="181"/>
      <c r="CPG143" s="181"/>
      <c r="CPH143" s="181"/>
      <c r="CPI143" s="181"/>
      <c r="CPJ143" s="181"/>
      <c r="CPK143" s="181"/>
      <c r="CPL143" s="181"/>
      <c r="CPM143" s="181"/>
      <c r="CPN143" s="181"/>
      <c r="CPO143" s="181"/>
      <c r="CPP143" s="181"/>
      <c r="CPQ143" s="181"/>
      <c r="CPR143" s="181"/>
      <c r="CPS143" s="181"/>
      <c r="CPT143" s="181"/>
      <c r="CPU143" s="181"/>
      <c r="CPV143" s="181"/>
      <c r="CPW143" s="181"/>
      <c r="CPX143" s="181"/>
      <c r="CPY143" s="181"/>
      <c r="CPZ143" s="181"/>
      <c r="CQA143" s="181"/>
      <c r="CQB143" s="181"/>
      <c r="CQC143" s="181"/>
      <c r="CQD143" s="181"/>
      <c r="CQE143" s="181"/>
      <c r="CQF143" s="181"/>
      <c r="CQG143" s="181"/>
      <c r="CQH143" s="181"/>
      <c r="CQI143" s="181"/>
      <c r="CQJ143" s="181"/>
      <c r="CQK143" s="181"/>
      <c r="CQL143" s="181"/>
      <c r="CQM143" s="181"/>
      <c r="CQN143" s="181"/>
      <c r="CQO143" s="181"/>
      <c r="CQP143" s="181"/>
      <c r="CQQ143" s="181"/>
      <c r="CQR143" s="181"/>
      <c r="CQS143" s="181"/>
      <c r="CQT143" s="181"/>
      <c r="CQU143" s="181"/>
      <c r="CQV143" s="181"/>
      <c r="CQW143" s="181"/>
      <c r="CQX143" s="181"/>
      <c r="CQY143" s="181"/>
      <c r="CQZ143" s="181"/>
      <c r="CRA143" s="181"/>
      <c r="CRB143" s="181"/>
      <c r="CRC143" s="181"/>
      <c r="CRD143" s="181"/>
      <c r="CRE143" s="181"/>
      <c r="CRF143" s="181"/>
      <c r="CRG143" s="181"/>
      <c r="CRH143" s="181"/>
      <c r="CRI143" s="181"/>
      <c r="CRJ143" s="181"/>
      <c r="CRK143" s="181"/>
      <c r="CRL143" s="181"/>
      <c r="CRM143" s="181"/>
      <c r="CRN143" s="181"/>
      <c r="CRO143" s="181"/>
      <c r="CRP143" s="181"/>
      <c r="CRQ143" s="181"/>
      <c r="CRR143" s="181"/>
      <c r="CRS143" s="181"/>
      <c r="CRT143" s="181"/>
      <c r="CRU143" s="181"/>
      <c r="CRV143" s="181"/>
      <c r="CRW143" s="181"/>
      <c r="CRX143" s="181"/>
      <c r="CRY143" s="181"/>
      <c r="CRZ143" s="181"/>
      <c r="CSA143" s="181"/>
      <c r="CSB143" s="181"/>
      <c r="CSC143" s="181"/>
      <c r="CSD143" s="181"/>
      <c r="CSE143" s="181"/>
      <c r="CSF143" s="181"/>
      <c r="CSG143" s="181"/>
      <c r="CSH143" s="181"/>
      <c r="CSI143" s="181"/>
      <c r="CSJ143" s="181"/>
      <c r="CSK143" s="181"/>
      <c r="CSL143" s="181"/>
      <c r="CSM143" s="181"/>
      <c r="CSN143" s="181"/>
      <c r="CSO143" s="181"/>
      <c r="CSP143" s="181"/>
      <c r="CSQ143" s="181"/>
      <c r="CSR143" s="181"/>
      <c r="CSS143" s="181"/>
      <c r="CST143" s="181"/>
      <c r="CSU143" s="181"/>
      <c r="CSV143" s="181"/>
      <c r="CSW143" s="181"/>
      <c r="CSX143" s="181"/>
      <c r="CSY143" s="181"/>
      <c r="CSZ143" s="181"/>
      <c r="CTA143" s="181"/>
      <c r="CTB143" s="181"/>
      <c r="CTC143" s="181"/>
      <c r="CTD143" s="181"/>
      <c r="CTE143" s="181"/>
      <c r="CTF143" s="181"/>
      <c r="CTG143" s="181"/>
      <c r="CTH143" s="181"/>
      <c r="CTI143" s="181"/>
      <c r="CTJ143" s="181"/>
      <c r="CTK143" s="181"/>
      <c r="CTL143" s="181"/>
      <c r="CTM143" s="181"/>
      <c r="CTN143" s="181"/>
      <c r="CTO143" s="181"/>
      <c r="CTP143" s="181"/>
      <c r="CTQ143" s="181"/>
      <c r="CTR143" s="181"/>
      <c r="CTS143" s="181"/>
      <c r="CTT143" s="181"/>
      <c r="CTU143" s="181"/>
      <c r="CTV143" s="181"/>
      <c r="CTW143" s="181"/>
      <c r="CTX143" s="181"/>
      <c r="CTY143" s="181"/>
      <c r="CTZ143" s="181"/>
      <c r="CUA143" s="181"/>
      <c r="CUB143" s="181"/>
      <c r="CUC143" s="181"/>
      <c r="CUD143" s="181"/>
      <c r="CUE143" s="181"/>
      <c r="CUF143" s="181"/>
      <c r="CUG143" s="181"/>
      <c r="CUH143" s="181"/>
      <c r="CUI143" s="181"/>
      <c r="CUJ143" s="181"/>
      <c r="CUK143" s="181"/>
      <c r="CUL143" s="181"/>
      <c r="CUM143" s="181"/>
      <c r="CUN143" s="181"/>
      <c r="CUO143" s="181"/>
      <c r="CUP143" s="181"/>
      <c r="CUQ143" s="181"/>
      <c r="CUR143" s="181"/>
      <c r="CUS143" s="181"/>
      <c r="CUT143" s="181"/>
      <c r="CUU143" s="181"/>
      <c r="CUV143" s="181"/>
      <c r="CUW143" s="181"/>
      <c r="CUX143" s="181"/>
      <c r="CUY143" s="181"/>
      <c r="CUZ143" s="181"/>
      <c r="CVA143" s="181"/>
      <c r="CVB143" s="181"/>
      <c r="CVC143" s="181"/>
      <c r="CVD143" s="181"/>
      <c r="CVE143" s="181"/>
      <c r="CVF143" s="181"/>
      <c r="CVG143" s="181"/>
      <c r="CVH143" s="181"/>
      <c r="CVI143" s="181"/>
      <c r="CVJ143" s="181"/>
      <c r="CVK143" s="181"/>
      <c r="CVL143" s="181"/>
      <c r="CVM143" s="181"/>
      <c r="CVN143" s="181"/>
      <c r="CVO143" s="181"/>
      <c r="CVP143" s="181"/>
      <c r="CVQ143" s="181"/>
      <c r="CVR143" s="181"/>
      <c r="CVS143" s="181"/>
      <c r="CVT143" s="181"/>
      <c r="CVU143" s="181"/>
      <c r="CVV143" s="181"/>
      <c r="CVW143" s="181"/>
      <c r="CVX143" s="181"/>
      <c r="CVY143" s="181"/>
      <c r="CVZ143" s="181"/>
      <c r="CWA143" s="181"/>
      <c r="CWB143" s="181"/>
      <c r="CWC143" s="181"/>
      <c r="CWD143" s="181"/>
      <c r="CWE143" s="181"/>
      <c r="CWF143" s="181"/>
      <c r="CWG143" s="181"/>
      <c r="CWH143" s="181"/>
      <c r="CWI143" s="181"/>
      <c r="CWJ143" s="181"/>
      <c r="CWK143" s="181"/>
      <c r="CWL143" s="181"/>
      <c r="CWM143" s="181"/>
      <c r="CWN143" s="181"/>
      <c r="CWO143" s="181"/>
      <c r="CWP143" s="181"/>
      <c r="CWQ143" s="181"/>
      <c r="CWR143" s="181"/>
      <c r="CWS143" s="181"/>
      <c r="CWT143" s="181"/>
      <c r="CWU143" s="181"/>
      <c r="CWV143" s="181"/>
      <c r="CWW143" s="181"/>
      <c r="CWX143" s="181"/>
      <c r="CWY143" s="181"/>
      <c r="CWZ143" s="181"/>
      <c r="CXA143" s="181"/>
      <c r="CXB143" s="181"/>
      <c r="CXC143" s="181"/>
      <c r="CXD143" s="181"/>
      <c r="CXE143" s="181"/>
      <c r="CXF143" s="181"/>
      <c r="CXG143" s="181"/>
      <c r="CXH143" s="181"/>
      <c r="CXI143" s="181"/>
      <c r="CXJ143" s="181"/>
      <c r="CXK143" s="181"/>
      <c r="CXL143" s="181"/>
      <c r="CXM143" s="181"/>
      <c r="CXN143" s="181"/>
      <c r="CXO143" s="181"/>
      <c r="CXP143" s="181"/>
      <c r="CXQ143" s="181"/>
      <c r="CXR143" s="181"/>
      <c r="CXS143" s="181"/>
      <c r="CXT143" s="181"/>
      <c r="CXU143" s="181"/>
      <c r="CXV143" s="181"/>
      <c r="CXW143" s="181"/>
      <c r="CXX143" s="181"/>
      <c r="CXY143" s="181"/>
      <c r="CXZ143" s="181"/>
      <c r="CYA143" s="181"/>
      <c r="CYB143" s="181"/>
      <c r="CYC143" s="181"/>
      <c r="CYD143" s="181"/>
      <c r="CYE143" s="181"/>
      <c r="CYF143" s="181"/>
      <c r="CYG143" s="181"/>
      <c r="CYH143" s="181"/>
      <c r="CYI143" s="181"/>
      <c r="CYJ143" s="181"/>
      <c r="CYK143" s="181"/>
      <c r="CYL143" s="181"/>
      <c r="CYM143" s="181"/>
      <c r="CYN143" s="181"/>
      <c r="CYO143" s="181"/>
      <c r="CYP143" s="181"/>
      <c r="CYQ143" s="181"/>
      <c r="CYR143" s="181"/>
      <c r="CYS143" s="181"/>
      <c r="CYT143" s="181"/>
      <c r="CYU143" s="181"/>
      <c r="CYV143" s="181"/>
      <c r="CYW143" s="181"/>
      <c r="CYX143" s="181"/>
      <c r="CYY143" s="181"/>
      <c r="CYZ143" s="181"/>
      <c r="CZA143" s="181"/>
      <c r="CZB143" s="181"/>
      <c r="CZC143" s="181"/>
      <c r="CZD143" s="181"/>
      <c r="CZE143" s="181"/>
      <c r="CZF143" s="181"/>
      <c r="CZG143" s="181"/>
      <c r="CZH143" s="181"/>
      <c r="CZI143" s="181"/>
      <c r="CZJ143" s="181"/>
      <c r="CZK143" s="181"/>
      <c r="CZL143" s="181"/>
      <c r="CZM143" s="181"/>
      <c r="CZN143" s="181"/>
      <c r="CZO143" s="181"/>
      <c r="CZP143" s="181"/>
      <c r="CZQ143" s="181"/>
      <c r="CZR143" s="181"/>
      <c r="CZS143" s="181"/>
      <c r="CZT143" s="181"/>
      <c r="CZU143" s="181"/>
      <c r="CZV143" s="181"/>
      <c r="CZW143" s="181"/>
      <c r="CZX143" s="181"/>
      <c r="CZY143" s="181"/>
      <c r="CZZ143" s="181"/>
      <c r="DAA143" s="181"/>
      <c r="DAB143" s="181"/>
      <c r="DAC143" s="181"/>
      <c r="DAD143" s="181"/>
      <c r="DAE143" s="181"/>
      <c r="DAF143" s="181"/>
      <c r="DAG143" s="181"/>
      <c r="DAH143" s="181"/>
      <c r="DAI143" s="181"/>
      <c r="DAJ143" s="181"/>
      <c r="DAK143" s="181"/>
      <c r="DAL143" s="181"/>
      <c r="DAM143" s="181"/>
      <c r="DAN143" s="181"/>
      <c r="DAO143" s="181"/>
      <c r="DAP143" s="181"/>
      <c r="DAQ143" s="181"/>
      <c r="DAR143" s="181"/>
      <c r="DAS143" s="181"/>
      <c r="DAT143" s="181"/>
      <c r="DAU143" s="181"/>
      <c r="DAV143" s="181"/>
      <c r="DAW143" s="181"/>
      <c r="DAX143" s="181"/>
      <c r="DAY143" s="181"/>
      <c r="DAZ143" s="181"/>
      <c r="DBA143" s="181"/>
      <c r="DBB143" s="181"/>
      <c r="DBC143" s="181"/>
      <c r="DBD143" s="181"/>
      <c r="DBE143" s="181"/>
      <c r="DBF143" s="181"/>
      <c r="DBG143" s="181"/>
      <c r="DBH143" s="181"/>
      <c r="DBI143" s="181"/>
      <c r="DBJ143" s="181"/>
      <c r="DBK143" s="181"/>
      <c r="DBL143" s="181"/>
      <c r="DBM143" s="181"/>
      <c r="DBN143" s="181"/>
      <c r="DBO143" s="181"/>
      <c r="DBP143" s="181"/>
      <c r="DBQ143" s="181"/>
      <c r="DBR143" s="181"/>
      <c r="DBS143" s="181"/>
      <c r="DBT143" s="181"/>
      <c r="DBU143" s="181"/>
      <c r="DBV143" s="181"/>
      <c r="DBW143" s="181"/>
      <c r="DBX143" s="181"/>
      <c r="DBY143" s="181"/>
      <c r="DBZ143" s="181"/>
      <c r="DCA143" s="181"/>
      <c r="DCB143" s="181"/>
      <c r="DCC143" s="181"/>
      <c r="DCD143" s="181"/>
      <c r="DCE143" s="181"/>
      <c r="DCF143" s="181"/>
      <c r="DCG143" s="181"/>
      <c r="DCH143" s="181"/>
      <c r="DCI143" s="181"/>
      <c r="DCJ143" s="181"/>
      <c r="DCK143" s="181"/>
      <c r="DCL143" s="181"/>
      <c r="DCM143" s="181"/>
      <c r="DCN143" s="181"/>
      <c r="DCO143" s="181"/>
      <c r="DCP143" s="181"/>
      <c r="DCQ143" s="181"/>
      <c r="DCR143" s="181"/>
      <c r="DCS143" s="181"/>
      <c r="DCT143" s="181"/>
      <c r="DCU143" s="181"/>
      <c r="DCV143" s="181"/>
      <c r="DCW143" s="181"/>
      <c r="DCX143" s="181"/>
      <c r="DCY143" s="181"/>
      <c r="DCZ143" s="181"/>
      <c r="DDA143" s="181"/>
      <c r="DDB143" s="181"/>
      <c r="DDC143" s="181"/>
      <c r="DDD143" s="181"/>
      <c r="DDE143" s="181"/>
      <c r="DDF143" s="181"/>
      <c r="DDG143" s="181"/>
      <c r="DDH143" s="181"/>
      <c r="DDI143" s="181"/>
      <c r="DDJ143" s="181"/>
      <c r="DDK143" s="181"/>
      <c r="DDL143" s="181"/>
      <c r="DDM143" s="181"/>
      <c r="DDN143" s="181"/>
      <c r="DDO143" s="181"/>
      <c r="DDP143" s="181"/>
      <c r="DDQ143" s="181"/>
      <c r="DDR143" s="181"/>
      <c r="DDS143" s="181"/>
      <c r="DDT143" s="181"/>
      <c r="DDU143" s="181"/>
      <c r="DDV143" s="181"/>
      <c r="DDW143" s="181"/>
      <c r="DDX143" s="181"/>
      <c r="DDY143" s="181"/>
      <c r="DDZ143" s="181"/>
      <c r="DEA143" s="181"/>
      <c r="DEB143" s="181"/>
      <c r="DEC143" s="181"/>
      <c r="DED143" s="181"/>
      <c r="DEE143" s="181"/>
      <c r="DEF143" s="181"/>
      <c r="DEG143" s="181"/>
      <c r="DEH143" s="181"/>
      <c r="DEI143" s="181"/>
      <c r="DEJ143" s="181"/>
      <c r="DEK143" s="181"/>
      <c r="DEL143" s="181"/>
      <c r="DEM143" s="181"/>
      <c r="DEN143" s="181"/>
      <c r="DEO143" s="181"/>
      <c r="DEP143" s="181"/>
      <c r="DEQ143" s="181"/>
      <c r="DER143" s="181"/>
      <c r="DES143" s="181"/>
      <c r="DET143" s="181"/>
      <c r="DEU143" s="181"/>
      <c r="DEV143" s="181"/>
      <c r="DEW143" s="181"/>
      <c r="DEX143" s="181"/>
      <c r="DEY143" s="181"/>
      <c r="DEZ143" s="181"/>
      <c r="DFA143" s="181"/>
      <c r="DFB143" s="181"/>
      <c r="DFC143" s="181"/>
      <c r="DFD143" s="181"/>
      <c r="DFE143" s="181"/>
      <c r="DFF143" s="181"/>
      <c r="DFG143" s="181"/>
      <c r="DFH143" s="181"/>
      <c r="DFI143" s="181"/>
      <c r="DFJ143" s="181"/>
      <c r="DFK143" s="181"/>
      <c r="DFL143" s="181"/>
      <c r="DFM143" s="181"/>
      <c r="DFN143" s="181"/>
      <c r="DFO143" s="181"/>
      <c r="DFP143" s="181"/>
      <c r="DFQ143" s="181"/>
      <c r="DFR143" s="181"/>
      <c r="DFS143" s="181"/>
      <c r="DFT143" s="181"/>
      <c r="DFU143" s="181"/>
      <c r="DFV143" s="181"/>
      <c r="DFW143" s="181"/>
      <c r="DFX143" s="181"/>
      <c r="DFY143" s="181"/>
      <c r="DFZ143" s="181"/>
      <c r="DGA143" s="181"/>
      <c r="DGB143" s="181"/>
      <c r="DGC143" s="181"/>
      <c r="DGD143" s="181"/>
      <c r="DGE143" s="181"/>
      <c r="DGF143" s="181"/>
      <c r="DGG143" s="181"/>
      <c r="DGH143" s="181"/>
      <c r="DGI143" s="181"/>
      <c r="DGJ143" s="181"/>
      <c r="DGK143" s="181"/>
      <c r="DGL143" s="181"/>
      <c r="DGM143" s="181"/>
      <c r="DGN143" s="181"/>
      <c r="DGO143" s="181"/>
      <c r="DGP143" s="181"/>
      <c r="DGQ143" s="181"/>
      <c r="DGR143" s="181"/>
      <c r="DGS143" s="181"/>
      <c r="DGT143" s="181"/>
      <c r="DGU143" s="181"/>
      <c r="DGV143" s="181"/>
      <c r="DGW143" s="181"/>
      <c r="DGX143" s="181"/>
      <c r="DGY143" s="181"/>
      <c r="DGZ143" s="181"/>
      <c r="DHA143" s="181"/>
      <c r="DHB143" s="181"/>
      <c r="DHC143" s="181"/>
      <c r="DHD143" s="181"/>
      <c r="DHE143" s="181"/>
      <c r="DHF143" s="181"/>
      <c r="DHG143" s="181"/>
      <c r="DHH143" s="181"/>
      <c r="DHI143" s="181"/>
      <c r="DHJ143" s="181"/>
      <c r="DHK143" s="181"/>
      <c r="DHL143" s="181"/>
      <c r="DHM143" s="181"/>
      <c r="DHN143" s="181"/>
      <c r="DHO143" s="181"/>
      <c r="DHP143" s="181"/>
      <c r="DHQ143" s="181"/>
      <c r="DHR143" s="181"/>
      <c r="DHS143" s="181"/>
      <c r="DHT143" s="181"/>
      <c r="DHU143" s="181"/>
      <c r="DHV143" s="181"/>
      <c r="DHW143" s="181"/>
      <c r="DHX143" s="181"/>
      <c r="DHY143" s="181"/>
      <c r="DHZ143" s="181"/>
      <c r="DIA143" s="181"/>
      <c r="DIB143" s="181"/>
      <c r="DIC143" s="181"/>
      <c r="DID143" s="181"/>
      <c r="DIE143" s="181"/>
      <c r="DIF143" s="181"/>
      <c r="DIG143" s="181"/>
      <c r="DIH143" s="181"/>
      <c r="DII143" s="181"/>
      <c r="DIJ143" s="181"/>
      <c r="DIK143" s="181"/>
      <c r="DIL143" s="181"/>
      <c r="DIM143" s="181"/>
      <c r="DIN143" s="181"/>
      <c r="DIO143" s="181"/>
      <c r="DIP143" s="181"/>
      <c r="DIQ143" s="181"/>
      <c r="DIR143" s="181"/>
      <c r="DIS143" s="181"/>
      <c r="DIT143" s="181"/>
      <c r="DIU143" s="181"/>
      <c r="DIV143" s="181"/>
      <c r="DIW143" s="181"/>
      <c r="DIX143" s="181"/>
      <c r="DIY143" s="181"/>
      <c r="DIZ143" s="181"/>
      <c r="DJA143" s="181"/>
      <c r="DJB143" s="181"/>
      <c r="DJC143" s="181"/>
      <c r="DJD143" s="181"/>
      <c r="DJE143" s="181"/>
      <c r="DJF143" s="181"/>
      <c r="DJG143" s="181"/>
      <c r="DJH143" s="181"/>
      <c r="DJI143" s="181"/>
      <c r="DJJ143" s="181"/>
      <c r="DJK143" s="181"/>
      <c r="DJL143" s="181"/>
      <c r="DJM143" s="181"/>
      <c r="DJN143" s="181"/>
      <c r="DJO143" s="181"/>
      <c r="DJP143" s="181"/>
      <c r="DJQ143" s="181"/>
      <c r="DJR143" s="181"/>
      <c r="DJS143" s="181"/>
      <c r="DJT143" s="181"/>
      <c r="DJU143" s="181"/>
      <c r="DJV143" s="181"/>
      <c r="DJW143" s="181"/>
      <c r="DJX143" s="181"/>
      <c r="DJY143" s="181"/>
      <c r="DJZ143" s="181"/>
      <c r="DKA143" s="181"/>
      <c r="DKB143" s="181"/>
      <c r="DKC143" s="181"/>
      <c r="DKD143" s="181"/>
      <c r="DKE143" s="181"/>
      <c r="DKF143" s="181"/>
      <c r="DKG143" s="181"/>
      <c r="DKH143" s="181"/>
      <c r="DKI143" s="181"/>
      <c r="DKJ143" s="181"/>
      <c r="DKK143" s="181"/>
      <c r="DKL143" s="181"/>
      <c r="DKM143" s="181"/>
      <c r="DKN143" s="181"/>
      <c r="DKO143" s="181"/>
      <c r="DKP143" s="181"/>
      <c r="DKQ143" s="181"/>
      <c r="DKR143" s="181"/>
      <c r="DKS143" s="181"/>
      <c r="DKT143" s="181"/>
      <c r="DKU143" s="181"/>
      <c r="DKV143" s="181"/>
      <c r="DKW143" s="181"/>
      <c r="DKX143" s="181"/>
      <c r="DKY143" s="181"/>
      <c r="DKZ143" s="181"/>
      <c r="DLA143" s="181"/>
      <c r="DLB143" s="181"/>
      <c r="DLC143" s="181"/>
      <c r="DLD143" s="181"/>
      <c r="DLE143" s="181"/>
      <c r="DLF143" s="181"/>
      <c r="DLG143" s="181"/>
      <c r="DLH143" s="181"/>
      <c r="DLI143" s="181"/>
      <c r="DLJ143" s="181"/>
      <c r="DLK143" s="181"/>
      <c r="DLL143" s="181"/>
      <c r="DLM143" s="181"/>
      <c r="DLN143" s="181"/>
      <c r="DLO143" s="181"/>
      <c r="DLP143" s="181"/>
      <c r="DLQ143" s="181"/>
      <c r="DLR143" s="181"/>
      <c r="DLS143" s="181"/>
      <c r="DLT143" s="181"/>
      <c r="DLU143" s="181"/>
      <c r="DLV143" s="181"/>
      <c r="DLW143" s="181"/>
      <c r="DLX143" s="181"/>
      <c r="DLY143" s="181"/>
      <c r="DLZ143" s="181"/>
      <c r="DMA143" s="181"/>
      <c r="DMB143" s="181"/>
      <c r="DMC143" s="181"/>
      <c r="DMD143" s="181"/>
      <c r="DME143" s="181"/>
      <c r="DMF143" s="181"/>
      <c r="DMG143" s="181"/>
      <c r="DMH143" s="181"/>
      <c r="DMI143" s="181"/>
      <c r="DMJ143" s="181"/>
      <c r="DMK143" s="181"/>
      <c r="DML143" s="181"/>
      <c r="DMM143" s="181"/>
      <c r="DMN143" s="181"/>
      <c r="DMO143" s="181"/>
      <c r="DMP143" s="181"/>
      <c r="DMQ143" s="181"/>
      <c r="DMR143" s="181"/>
      <c r="DMS143" s="181"/>
      <c r="DMT143" s="181"/>
      <c r="DMU143" s="181"/>
      <c r="DMV143" s="181"/>
      <c r="DMW143" s="181"/>
      <c r="DMX143" s="181"/>
      <c r="DMY143" s="181"/>
      <c r="DMZ143" s="181"/>
      <c r="DNA143" s="181"/>
      <c r="DNB143" s="181"/>
      <c r="DNC143" s="181"/>
      <c r="DND143" s="181"/>
      <c r="DNE143" s="181"/>
      <c r="DNF143" s="181"/>
      <c r="DNG143" s="181"/>
      <c r="DNH143" s="181"/>
      <c r="DNI143" s="181"/>
      <c r="DNJ143" s="181"/>
      <c r="DNK143" s="181"/>
      <c r="DNL143" s="181"/>
      <c r="DNM143" s="181"/>
      <c r="DNN143" s="181"/>
      <c r="DNO143" s="181"/>
      <c r="DNP143" s="181"/>
      <c r="DNQ143" s="181"/>
      <c r="DNR143" s="181"/>
      <c r="DNS143" s="181"/>
      <c r="DNT143" s="181"/>
      <c r="DNU143" s="181"/>
      <c r="DNV143" s="181"/>
      <c r="DNW143" s="181"/>
      <c r="DNX143" s="181"/>
      <c r="DNY143" s="181"/>
      <c r="DNZ143" s="181"/>
      <c r="DOA143" s="181"/>
      <c r="DOB143" s="181"/>
      <c r="DOC143" s="181"/>
      <c r="DOD143" s="181"/>
      <c r="DOE143" s="181"/>
      <c r="DOF143" s="181"/>
      <c r="DOG143" s="181"/>
      <c r="DOH143" s="181"/>
      <c r="DOI143" s="181"/>
      <c r="DOJ143" s="181"/>
      <c r="DOK143" s="181"/>
      <c r="DOL143" s="181"/>
      <c r="DOM143" s="181"/>
      <c r="DON143" s="181"/>
      <c r="DOO143" s="181"/>
      <c r="DOP143" s="181"/>
      <c r="DOQ143" s="181"/>
      <c r="DOR143" s="181"/>
      <c r="DOS143" s="181"/>
      <c r="DOT143" s="181"/>
      <c r="DOU143" s="181"/>
      <c r="DOV143" s="181"/>
      <c r="DOW143" s="181"/>
      <c r="DOX143" s="181"/>
      <c r="DOY143" s="181"/>
      <c r="DOZ143" s="181"/>
      <c r="DPA143" s="181"/>
      <c r="DPB143" s="181"/>
      <c r="DPC143" s="181"/>
      <c r="DPD143" s="181"/>
      <c r="DPE143" s="181"/>
      <c r="DPF143" s="181"/>
      <c r="DPG143" s="181"/>
      <c r="DPH143" s="181"/>
      <c r="DPI143" s="181"/>
      <c r="DPJ143" s="181"/>
      <c r="DPK143" s="181"/>
      <c r="DPL143" s="181"/>
      <c r="DPM143" s="181"/>
      <c r="DPN143" s="181"/>
      <c r="DPO143" s="181"/>
      <c r="DPP143" s="181"/>
      <c r="DPQ143" s="181"/>
      <c r="DPR143" s="181"/>
      <c r="DPS143" s="181"/>
      <c r="DPT143" s="181"/>
      <c r="DPU143" s="181"/>
      <c r="DPV143" s="181"/>
      <c r="DPW143" s="181"/>
      <c r="DPX143" s="181"/>
      <c r="DPY143" s="181"/>
      <c r="DPZ143" s="181"/>
      <c r="DQA143" s="181"/>
      <c r="DQB143" s="181"/>
      <c r="DQC143" s="181"/>
      <c r="DQD143" s="181"/>
      <c r="DQE143" s="181"/>
      <c r="DQF143" s="181"/>
      <c r="DQG143" s="181"/>
      <c r="DQH143" s="181"/>
      <c r="DQI143" s="181"/>
      <c r="DQJ143" s="181"/>
      <c r="DQK143" s="181"/>
      <c r="DQL143" s="181"/>
      <c r="DQM143" s="181"/>
      <c r="DQN143" s="181"/>
      <c r="DQO143" s="181"/>
      <c r="DQP143" s="181"/>
      <c r="DQQ143" s="181"/>
      <c r="DQR143" s="181"/>
      <c r="DQS143" s="181"/>
      <c r="DQT143" s="181"/>
      <c r="DQU143" s="181"/>
      <c r="DQV143" s="181"/>
      <c r="DQW143" s="181"/>
      <c r="DQX143" s="181"/>
      <c r="DQY143" s="181"/>
      <c r="DQZ143" s="181"/>
      <c r="DRA143" s="181"/>
      <c r="DRB143" s="181"/>
      <c r="DRC143" s="181"/>
      <c r="DRD143" s="181"/>
      <c r="DRE143" s="181"/>
      <c r="DRF143" s="181"/>
      <c r="DRG143" s="181"/>
      <c r="DRH143" s="181"/>
      <c r="DRI143" s="181"/>
      <c r="DRJ143" s="181"/>
      <c r="DRK143" s="181"/>
      <c r="DRL143" s="181"/>
      <c r="DRM143" s="181"/>
      <c r="DRN143" s="181"/>
      <c r="DRO143" s="181"/>
      <c r="DRP143" s="181"/>
      <c r="DRQ143" s="181"/>
      <c r="DRR143" s="181"/>
      <c r="DRS143" s="181"/>
      <c r="DRT143" s="181"/>
      <c r="DRU143" s="181"/>
      <c r="DRV143" s="181"/>
      <c r="DRW143" s="181"/>
      <c r="DRX143" s="181"/>
      <c r="DRY143" s="181"/>
      <c r="DRZ143" s="181"/>
      <c r="DSA143" s="181"/>
      <c r="DSB143" s="181"/>
      <c r="DSC143" s="181"/>
      <c r="DSD143" s="181"/>
      <c r="DSE143" s="181"/>
      <c r="DSF143" s="181"/>
      <c r="DSG143" s="181"/>
      <c r="DSH143" s="181"/>
      <c r="DSI143" s="181"/>
      <c r="DSJ143" s="181"/>
      <c r="DSK143" s="181"/>
      <c r="DSL143" s="181"/>
      <c r="DSM143" s="181"/>
      <c r="DSN143" s="181"/>
      <c r="DSO143" s="181"/>
      <c r="DSP143" s="181"/>
      <c r="DSQ143" s="181"/>
      <c r="DSR143" s="181"/>
      <c r="DSS143" s="181"/>
      <c r="DST143" s="181"/>
      <c r="DSU143" s="181"/>
      <c r="DSV143" s="181"/>
      <c r="DSW143" s="181"/>
      <c r="DSX143" s="181"/>
      <c r="DSY143" s="181"/>
      <c r="DSZ143" s="181"/>
      <c r="DTA143" s="181"/>
      <c r="DTB143" s="181"/>
      <c r="DTC143" s="181"/>
      <c r="DTD143" s="181"/>
      <c r="DTE143" s="181"/>
      <c r="DTF143" s="181"/>
      <c r="DTG143" s="181"/>
      <c r="DTH143" s="181"/>
      <c r="DTI143" s="181"/>
      <c r="DTJ143" s="181"/>
      <c r="DTK143" s="181"/>
      <c r="DTL143" s="181"/>
      <c r="DTM143" s="181"/>
      <c r="DTN143" s="181"/>
      <c r="DTO143" s="181"/>
      <c r="DTP143" s="181"/>
      <c r="DTQ143" s="181"/>
      <c r="DTR143" s="181"/>
      <c r="DTS143" s="181"/>
      <c r="DTT143" s="181"/>
      <c r="DTU143" s="181"/>
      <c r="DTV143" s="181"/>
      <c r="DTW143" s="181"/>
      <c r="DTX143" s="181"/>
      <c r="DTY143" s="181"/>
      <c r="DTZ143" s="181"/>
      <c r="DUA143" s="181"/>
      <c r="DUB143" s="181"/>
      <c r="DUC143" s="181"/>
      <c r="DUD143" s="181"/>
      <c r="DUE143" s="181"/>
      <c r="DUF143" s="181"/>
      <c r="DUG143" s="181"/>
      <c r="DUH143" s="181"/>
      <c r="DUI143" s="181"/>
      <c r="DUJ143" s="181"/>
      <c r="DUK143" s="181"/>
      <c r="DUL143" s="181"/>
      <c r="DUM143" s="181"/>
      <c r="DUN143" s="181"/>
      <c r="DUO143" s="181"/>
      <c r="DUP143" s="181"/>
      <c r="DUQ143" s="181"/>
      <c r="DUR143" s="181"/>
      <c r="DUS143" s="181"/>
      <c r="DUT143" s="181"/>
      <c r="DUU143" s="181"/>
      <c r="DUV143" s="181"/>
      <c r="DUW143" s="181"/>
      <c r="DUX143" s="181"/>
      <c r="DUY143" s="181"/>
      <c r="DUZ143" s="181"/>
      <c r="DVA143" s="181"/>
      <c r="DVB143" s="181"/>
      <c r="DVC143" s="181"/>
      <c r="DVD143" s="181"/>
      <c r="DVE143" s="181"/>
      <c r="DVF143" s="181"/>
      <c r="DVG143" s="181"/>
      <c r="DVH143" s="181"/>
      <c r="DVI143" s="181"/>
      <c r="DVJ143" s="181"/>
      <c r="DVK143" s="181"/>
      <c r="DVL143" s="181"/>
      <c r="DVM143" s="181"/>
      <c r="DVN143" s="181"/>
      <c r="DVO143" s="181"/>
      <c r="DVP143" s="181"/>
      <c r="DVQ143" s="181"/>
      <c r="DVR143" s="181"/>
      <c r="DVS143" s="181"/>
      <c r="DVT143" s="181"/>
      <c r="DVU143" s="181"/>
      <c r="DVV143" s="181"/>
      <c r="DVW143" s="181"/>
      <c r="DVX143" s="181"/>
      <c r="DVY143" s="181"/>
      <c r="DVZ143" s="181"/>
      <c r="DWA143" s="181"/>
      <c r="DWB143" s="181"/>
      <c r="DWC143" s="181"/>
      <c r="DWD143" s="181"/>
      <c r="DWE143" s="181"/>
      <c r="DWF143" s="181"/>
      <c r="DWG143" s="181"/>
      <c r="DWH143" s="181"/>
      <c r="DWI143" s="181"/>
      <c r="DWJ143" s="181"/>
      <c r="DWK143" s="181"/>
      <c r="DWL143" s="181"/>
      <c r="DWM143" s="181"/>
      <c r="DWN143" s="181"/>
      <c r="DWO143" s="181"/>
      <c r="DWP143" s="181"/>
      <c r="DWQ143" s="181"/>
      <c r="DWR143" s="181"/>
      <c r="DWS143" s="181"/>
      <c r="DWT143" s="181"/>
      <c r="DWU143" s="181"/>
      <c r="DWV143" s="181"/>
      <c r="DWW143" s="181"/>
      <c r="DWX143" s="181"/>
      <c r="DWY143" s="181"/>
      <c r="DWZ143" s="181"/>
      <c r="DXA143" s="181"/>
      <c r="DXB143" s="181"/>
      <c r="DXC143" s="181"/>
      <c r="DXD143" s="181"/>
      <c r="DXE143" s="181"/>
      <c r="DXF143" s="181"/>
      <c r="DXG143" s="181"/>
      <c r="DXH143" s="181"/>
      <c r="DXI143" s="181"/>
      <c r="DXJ143" s="181"/>
      <c r="DXK143" s="181"/>
      <c r="DXL143" s="181"/>
      <c r="DXM143" s="181"/>
      <c r="DXN143" s="181"/>
      <c r="DXO143" s="181"/>
      <c r="DXP143" s="181"/>
      <c r="DXQ143" s="181"/>
      <c r="DXR143" s="181"/>
      <c r="DXS143" s="181"/>
      <c r="DXT143" s="181"/>
      <c r="DXU143" s="181"/>
      <c r="DXV143" s="181"/>
      <c r="DXW143" s="181"/>
      <c r="DXX143" s="181"/>
      <c r="DXY143" s="181"/>
      <c r="DXZ143" s="181"/>
      <c r="DYA143" s="181"/>
      <c r="DYB143" s="181"/>
      <c r="DYC143" s="181"/>
      <c r="DYD143" s="181"/>
      <c r="DYE143" s="181"/>
      <c r="DYF143" s="181"/>
      <c r="DYG143" s="181"/>
      <c r="DYH143" s="181"/>
      <c r="DYI143" s="181"/>
      <c r="DYJ143" s="181"/>
      <c r="DYK143" s="181"/>
      <c r="DYL143" s="181"/>
      <c r="DYM143" s="181"/>
      <c r="DYN143" s="181"/>
      <c r="DYO143" s="181"/>
      <c r="DYP143" s="181"/>
      <c r="DYQ143" s="181"/>
      <c r="DYR143" s="181"/>
      <c r="DYS143" s="181"/>
      <c r="DYT143" s="181"/>
      <c r="DYU143" s="181"/>
      <c r="DYV143" s="181"/>
      <c r="DYW143" s="181"/>
      <c r="DYX143" s="181"/>
      <c r="DYY143" s="181"/>
      <c r="DYZ143" s="181"/>
      <c r="DZA143" s="181"/>
      <c r="DZB143" s="181"/>
      <c r="DZC143" s="181"/>
      <c r="DZD143" s="181"/>
      <c r="DZE143" s="181"/>
      <c r="DZF143" s="181"/>
      <c r="DZG143" s="181"/>
      <c r="DZH143" s="181"/>
      <c r="DZI143" s="181"/>
      <c r="DZJ143" s="181"/>
      <c r="DZK143" s="181"/>
      <c r="DZL143" s="181"/>
      <c r="DZM143" s="181"/>
      <c r="DZN143" s="181"/>
      <c r="DZO143" s="181"/>
      <c r="DZP143" s="181"/>
      <c r="DZQ143" s="181"/>
      <c r="DZR143" s="181"/>
      <c r="DZS143" s="181"/>
      <c r="DZT143" s="181"/>
      <c r="DZU143" s="181"/>
      <c r="DZV143" s="181"/>
      <c r="DZW143" s="181"/>
      <c r="DZX143" s="181"/>
      <c r="DZY143" s="181"/>
      <c r="DZZ143" s="181"/>
      <c r="EAA143" s="181"/>
      <c r="EAB143" s="181"/>
      <c r="EAC143" s="181"/>
      <c r="EAD143" s="181"/>
      <c r="EAE143" s="181"/>
      <c r="EAF143" s="181"/>
      <c r="EAG143" s="181"/>
      <c r="EAH143" s="181"/>
      <c r="EAI143" s="181"/>
      <c r="EAJ143" s="181"/>
      <c r="EAK143" s="181"/>
      <c r="EAL143" s="181"/>
      <c r="EAM143" s="181"/>
      <c r="EAN143" s="181"/>
      <c r="EAO143" s="181"/>
      <c r="EAP143" s="181"/>
      <c r="EAQ143" s="181"/>
      <c r="EAR143" s="181"/>
      <c r="EAS143" s="181"/>
      <c r="EAT143" s="181"/>
      <c r="EAU143" s="181"/>
      <c r="EAV143" s="181"/>
      <c r="EAW143" s="181"/>
      <c r="EAX143" s="181"/>
      <c r="EAY143" s="181"/>
      <c r="EAZ143" s="181"/>
      <c r="EBA143" s="181"/>
      <c r="EBB143" s="181"/>
      <c r="EBC143" s="181"/>
      <c r="EBD143" s="181"/>
      <c r="EBE143" s="181"/>
      <c r="EBF143" s="181"/>
      <c r="EBG143" s="181"/>
      <c r="EBH143" s="181"/>
      <c r="EBI143" s="181"/>
      <c r="EBJ143" s="181"/>
      <c r="EBK143" s="181"/>
      <c r="EBL143" s="181"/>
      <c r="EBM143" s="181"/>
      <c r="EBN143" s="181"/>
      <c r="EBO143" s="181"/>
      <c r="EBP143" s="181"/>
      <c r="EBQ143" s="181"/>
      <c r="EBR143" s="181"/>
      <c r="EBS143" s="181"/>
      <c r="EBT143" s="181"/>
      <c r="EBU143" s="181"/>
      <c r="EBV143" s="181"/>
      <c r="EBW143" s="181"/>
      <c r="EBX143" s="181"/>
      <c r="EBY143" s="181"/>
      <c r="EBZ143" s="181"/>
      <c r="ECA143" s="181"/>
      <c r="ECB143" s="181"/>
      <c r="ECC143" s="181"/>
      <c r="ECD143" s="181"/>
      <c r="ECE143" s="181"/>
      <c r="ECF143" s="181"/>
      <c r="ECG143" s="181"/>
      <c r="ECH143" s="181"/>
      <c r="ECI143" s="181"/>
      <c r="ECJ143" s="181"/>
      <c r="ECK143" s="181"/>
      <c r="ECL143" s="181"/>
      <c r="ECM143" s="181"/>
      <c r="ECN143" s="181"/>
      <c r="ECO143" s="181"/>
      <c r="ECP143" s="181"/>
      <c r="ECQ143" s="181"/>
      <c r="ECR143" s="181"/>
      <c r="ECS143" s="181"/>
      <c r="ECT143" s="181"/>
      <c r="ECU143" s="181"/>
      <c r="ECV143" s="181"/>
      <c r="ECW143" s="181"/>
      <c r="ECX143" s="181"/>
      <c r="ECY143" s="181"/>
      <c r="ECZ143" s="181"/>
      <c r="EDA143" s="181"/>
      <c r="EDB143" s="181"/>
      <c r="EDC143" s="181"/>
      <c r="EDD143" s="181"/>
      <c r="EDE143" s="181"/>
      <c r="EDF143" s="181"/>
      <c r="EDG143" s="181"/>
      <c r="EDH143" s="181"/>
      <c r="EDI143" s="181"/>
      <c r="EDJ143" s="181"/>
      <c r="EDK143" s="181"/>
      <c r="EDL143" s="181"/>
      <c r="EDM143" s="181"/>
      <c r="EDN143" s="181"/>
      <c r="EDO143" s="181"/>
      <c r="EDP143" s="181"/>
      <c r="EDQ143" s="181"/>
      <c r="EDR143" s="181"/>
      <c r="EDS143" s="181"/>
      <c r="EDT143" s="181"/>
      <c r="EDU143" s="181"/>
      <c r="EDV143" s="181"/>
      <c r="EDW143" s="181"/>
      <c r="EDX143" s="181"/>
      <c r="EDY143" s="181"/>
      <c r="EDZ143" s="181"/>
      <c r="EEA143" s="181"/>
      <c r="EEB143" s="181"/>
      <c r="EEC143" s="181"/>
      <c r="EED143" s="181"/>
      <c r="EEE143" s="181"/>
      <c r="EEF143" s="181"/>
      <c r="EEG143" s="181"/>
      <c r="EEH143" s="181"/>
      <c r="EEI143" s="181"/>
      <c r="EEJ143" s="181"/>
      <c r="EEK143" s="181"/>
      <c r="EEL143" s="181"/>
      <c r="EEM143" s="181"/>
      <c r="EEN143" s="181"/>
      <c r="EEO143" s="181"/>
      <c r="EEP143" s="181"/>
      <c r="EEQ143" s="181"/>
      <c r="EER143" s="181"/>
      <c r="EES143" s="181"/>
      <c r="EET143" s="181"/>
      <c r="EEU143" s="181"/>
      <c r="EEV143" s="181"/>
      <c r="EEW143" s="181"/>
      <c r="EEX143" s="181"/>
      <c r="EEY143" s="181"/>
      <c r="EEZ143" s="181"/>
      <c r="EFA143" s="181"/>
      <c r="EFB143" s="181"/>
      <c r="EFC143" s="181"/>
      <c r="EFD143" s="181"/>
      <c r="EFE143" s="181"/>
      <c r="EFF143" s="181"/>
      <c r="EFG143" s="181"/>
      <c r="EFH143" s="181"/>
      <c r="EFI143" s="181"/>
      <c r="EFJ143" s="181"/>
      <c r="EFK143" s="181"/>
      <c r="EFL143" s="181"/>
      <c r="EFM143" s="181"/>
      <c r="EFN143" s="181"/>
      <c r="EFO143" s="181"/>
      <c r="EFP143" s="181"/>
      <c r="EFQ143" s="181"/>
      <c r="EFR143" s="181"/>
      <c r="EFS143" s="181"/>
      <c r="EFT143" s="181"/>
      <c r="EFU143" s="181"/>
      <c r="EFV143" s="181"/>
      <c r="EFW143" s="181"/>
      <c r="EFX143" s="181"/>
      <c r="EFY143" s="181"/>
      <c r="EFZ143" s="181"/>
      <c r="EGA143" s="181"/>
      <c r="EGB143" s="181"/>
      <c r="EGC143" s="181"/>
      <c r="EGD143" s="181"/>
      <c r="EGE143" s="181"/>
      <c r="EGF143" s="181"/>
      <c r="EGG143" s="181"/>
      <c r="EGH143" s="181"/>
      <c r="EGI143" s="181"/>
      <c r="EGJ143" s="181"/>
      <c r="EGK143" s="181"/>
      <c r="EGL143" s="181"/>
      <c r="EGM143" s="181"/>
      <c r="EGN143" s="181"/>
      <c r="EGO143" s="181"/>
      <c r="EGP143" s="181"/>
      <c r="EGQ143" s="181"/>
      <c r="EGR143" s="181"/>
      <c r="EGS143" s="181"/>
      <c r="EGT143" s="181"/>
      <c r="EGU143" s="181"/>
      <c r="EGV143" s="181"/>
      <c r="EGW143" s="181"/>
      <c r="EGX143" s="181"/>
      <c r="EGY143" s="181"/>
      <c r="EGZ143" s="181"/>
      <c r="EHA143" s="181"/>
      <c r="EHB143" s="181"/>
      <c r="EHC143" s="181"/>
      <c r="EHD143" s="181"/>
      <c r="EHE143" s="181"/>
      <c r="EHF143" s="181"/>
      <c r="EHG143" s="181"/>
      <c r="EHH143" s="181"/>
      <c r="EHI143" s="181"/>
      <c r="EHJ143" s="181"/>
      <c r="EHK143" s="181"/>
      <c r="EHL143" s="181"/>
      <c r="EHM143" s="181"/>
      <c r="EHN143" s="181"/>
      <c r="EHO143" s="181"/>
      <c r="EHP143" s="181"/>
      <c r="EHQ143" s="181"/>
      <c r="EHR143" s="181"/>
      <c r="EHS143" s="181"/>
      <c r="EHT143" s="181"/>
      <c r="EHU143" s="181"/>
      <c r="EHV143" s="181"/>
      <c r="EHW143" s="181"/>
      <c r="EHX143" s="181"/>
      <c r="EHY143" s="181"/>
      <c r="EHZ143" s="181"/>
      <c r="EIA143" s="181"/>
      <c r="EIB143" s="181"/>
      <c r="EIC143" s="181"/>
      <c r="EID143" s="181"/>
      <c r="EIE143" s="181"/>
      <c r="EIF143" s="181"/>
      <c r="EIG143" s="181"/>
      <c r="EIH143" s="181"/>
      <c r="EII143" s="181"/>
      <c r="EIJ143" s="181"/>
      <c r="EIK143" s="181"/>
      <c r="EIL143" s="181"/>
      <c r="EIM143" s="181"/>
      <c r="EIN143" s="181"/>
      <c r="EIO143" s="181"/>
      <c r="EIP143" s="181"/>
      <c r="EIQ143" s="181"/>
      <c r="EIR143" s="181"/>
      <c r="EIS143" s="181"/>
      <c r="EIT143" s="181"/>
      <c r="EIU143" s="181"/>
      <c r="EIV143" s="181"/>
      <c r="EIW143" s="181"/>
      <c r="EIX143" s="181"/>
      <c r="EIY143" s="181"/>
      <c r="EIZ143" s="181"/>
      <c r="EJA143" s="181"/>
      <c r="EJB143" s="181"/>
      <c r="EJC143" s="181"/>
      <c r="EJD143" s="181"/>
      <c r="EJE143" s="181"/>
      <c r="EJF143" s="181"/>
      <c r="EJG143" s="181"/>
      <c r="EJH143" s="181"/>
      <c r="EJI143" s="181"/>
      <c r="EJJ143" s="181"/>
      <c r="EJK143" s="181"/>
      <c r="EJL143" s="181"/>
      <c r="EJM143" s="181"/>
      <c r="EJN143" s="181"/>
      <c r="EJO143" s="181"/>
      <c r="EJP143" s="181"/>
      <c r="EJQ143" s="181"/>
      <c r="EJR143" s="181"/>
      <c r="EJS143" s="181"/>
      <c r="EJT143" s="181"/>
      <c r="EJU143" s="181"/>
      <c r="EJV143" s="181"/>
      <c r="EJW143" s="181"/>
      <c r="EJX143" s="181"/>
      <c r="EJY143" s="181"/>
      <c r="EJZ143" s="181"/>
      <c r="EKA143" s="181"/>
      <c r="EKB143" s="181"/>
      <c r="EKC143" s="181"/>
      <c r="EKD143" s="181"/>
      <c r="EKE143" s="181"/>
      <c r="EKF143" s="181"/>
      <c r="EKG143" s="181"/>
      <c r="EKH143" s="181"/>
      <c r="EKI143" s="181"/>
      <c r="EKJ143" s="181"/>
      <c r="EKK143" s="181"/>
      <c r="EKL143" s="181"/>
      <c r="EKM143" s="181"/>
      <c r="EKN143" s="181"/>
      <c r="EKO143" s="181"/>
      <c r="EKP143" s="181"/>
      <c r="EKQ143" s="181"/>
      <c r="EKR143" s="181"/>
      <c r="EKS143" s="181"/>
      <c r="EKT143" s="181"/>
      <c r="EKU143" s="181"/>
      <c r="EKV143" s="181"/>
      <c r="EKW143" s="181"/>
      <c r="EKX143" s="181"/>
      <c r="EKY143" s="181"/>
      <c r="EKZ143" s="181"/>
      <c r="ELA143" s="181"/>
      <c r="ELB143" s="181"/>
      <c r="ELC143" s="181"/>
      <c r="ELD143" s="181"/>
      <c r="ELE143" s="181"/>
      <c r="ELF143" s="181"/>
      <c r="ELG143" s="181"/>
      <c r="ELH143" s="181"/>
      <c r="ELI143" s="181"/>
      <c r="ELJ143" s="181"/>
      <c r="ELK143" s="181"/>
      <c r="ELL143" s="181"/>
      <c r="ELM143" s="181"/>
      <c r="ELN143" s="181"/>
      <c r="ELO143" s="181"/>
      <c r="ELP143" s="181"/>
      <c r="ELQ143" s="181"/>
      <c r="ELR143" s="181"/>
      <c r="ELS143" s="181"/>
      <c r="ELT143" s="181"/>
      <c r="ELU143" s="181"/>
      <c r="ELV143" s="181"/>
      <c r="ELW143" s="181"/>
      <c r="ELX143" s="181"/>
      <c r="ELY143" s="181"/>
      <c r="ELZ143" s="181"/>
      <c r="EMA143" s="181"/>
      <c r="EMB143" s="181"/>
      <c r="EMC143" s="181"/>
      <c r="EMD143" s="181"/>
      <c r="EME143" s="181"/>
      <c r="EMF143" s="181"/>
      <c r="EMG143" s="181"/>
      <c r="EMH143" s="181"/>
      <c r="EMI143" s="181"/>
      <c r="EMJ143" s="181"/>
      <c r="EMK143" s="181"/>
      <c r="EML143" s="181"/>
      <c r="EMM143" s="181"/>
      <c r="EMN143" s="181"/>
      <c r="EMO143" s="181"/>
      <c r="EMP143" s="181"/>
      <c r="EMQ143" s="181"/>
      <c r="EMR143" s="181"/>
      <c r="EMS143" s="181"/>
      <c r="EMT143" s="181"/>
      <c r="EMU143" s="181"/>
      <c r="EMV143" s="181"/>
      <c r="EMW143" s="181"/>
      <c r="EMX143" s="181"/>
      <c r="EMY143" s="181"/>
      <c r="EMZ143" s="181"/>
      <c r="ENA143" s="181"/>
      <c r="ENB143" s="181"/>
      <c r="ENC143" s="181"/>
      <c r="END143" s="181"/>
      <c r="ENE143" s="181"/>
      <c r="ENF143" s="181"/>
      <c r="ENG143" s="181"/>
      <c r="ENH143" s="181"/>
      <c r="ENI143" s="181"/>
      <c r="ENJ143" s="181"/>
      <c r="ENK143" s="181"/>
      <c r="ENL143" s="181"/>
      <c r="ENM143" s="181"/>
      <c r="ENN143" s="181"/>
      <c r="ENO143" s="181"/>
      <c r="ENP143" s="181"/>
      <c r="ENQ143" s="181"/>
      <c r="ENR143" s="181"/>
      <c r="ENS143" s="181"/>
      <c r="ENT143" s="181"/>
      <c r="ENU143" s="181"/>
      <c r="ENV143" s="181"/>
      <c r="ENW143" s="181"/>
      <c r="ENX143" s="181"/>
      <c r="ENY143" s="181"/>
      <c r="ENZ143" s="181"/>
      <c r="EOA143" s="181"/>
      <c r="EOB143" s="181"/>
      <c r="EOC143" s="181"/>
      <c r="EOD143" s="181"/>
      <c r="EOE143" s="181"/>
      <c r="EOF143" s="181"/>
      <c r="EOG143" s="181"/>
      <c r="EOH143" s="181"/>
      <c r="EOI143" s="181"/>
      <c r="EOJ143" s="181"/>
      <c r="EOK143" s="181"/>
      <c r="EOL143" s="181"/>
      <c r="EOM143" s="181"/>
      <c r="EON143" s="181"/>
      <c r="EOO143" s="181"/>
      <c r="EOP143" s="181"/>
      <c r="EOQ143" s="181"/>
      <c r="EOR143" s="181"/>
      <c r="EOS143" s="181"/>
      <c r="EOT143" s="181"/>
      <c r="EOU143" s="181"/>
      <c r="EOV143" s="181"/>
      <c r="EOW143" s="181"/>
      <c r="EOX143" s="181"/>
      <c r="EOY143" s="181"/>
      <c r="EOZ143" s="181"/>
      <c r="EPA143" s="181"/>
      <c r="EPB143" s="181"/>
      <c r="EPC143" s="181"/>
      <c r="EPD143" s="181"/>
      <c r="EPE143" s="181"/>
      <c r="EPF143" s="181"/>
      <c r="EPG143" s="181"/>
      <c r="EPH143" s="181"/>
      <c r="EPI143" s="181"/>
      <c r="EPJ143" s="181"/>
      <c r="EPK143" s="181"/>
      <c r="EPL143" s="181"/>
      <c r="EPM143" s="181"/>
      <c r="EPN143" s="181"/>
      <c r="EPO143" s="181"/>
      <c r="EPP143" s="181"/>
      <c r="EPQ143" s="181"/>
      <c r="EPR143" s="181"/>
      <c r="EPS143" s="181"/>
      <c r="EPT143" s="181"/>
      <c r="EPU143" s="181"/>
      <c r="EPV143" s="181"/>
      <c r="EPW143" s="181"/>
      <c r="EPX143" s="181"/>
      <c r="EPY143" s="181"/>
      <c r="EPZ143" s="181"/>
      <c r="EQA143" s="181"/>
      <c r="EQB143" s="181"/>
      <c r="EQC143" s="181"/>
      <c r="EQD143" s="181"/>
      <c r="EQE143" s="181"/>
      <c r="EQF143" s="181"/>
      <c r="EQG143" s="181"/>
      <c r="EQH143" s="181"/>
      <c r="EQI143" s="181"/>
      <c r="EQJ143" s="181"/>
      <c r="EQK143" s="181"/>
      <c r="EQL143" s="181"/>
      <c r="EQM143" s="181"/>
      <c r="EQN143" s="181"/>
      <c r="EQO143" s="181"/>
      <c r="EQP143" s="181"/>
      <c r="EQQ143" s="181"/>
      <c r="EQR143" s="181"/>
      <c r="EQS143" s="181"/>
      <c r="EQT143" s="181"/>
      <c r="EQU143" s="181"/>
      <c r="EQV143" s="181"/>
      <c r="EQW143" s="181"/>
      <c r="EQX143" s="181"/>
      <c r="EQY143" s="181"/>
      <c r="EQZ143" s="181"/>
      <c r="ERA143" s="181"/>
      <c r="ERB143" s="181"/>
      <c r="ERC143" s="181"/>
      <c r="ERD143" s="181"/>
      <c r="ERE143" s="181"/>
      <c r="ERF143" s="181"/>
      <c r="ERG143" s="181"/>
      <c r="ERH143" s="181"/>
      <c r="ERI143" s="181"/>
      <c r="ERJ143" s="181"/>
      <c r="ERK143" s="181"/>
      <c r="ERL143" s="181"/>
      <c r="ERM143" s="181"/>
      <c r="ERN143" s="181"/>
      <c r="ERO143" s="181"/>
      <c r="ERP143" s="181"/>
      <c r="ERQ143" s="181"/>
      <c r="ERR143" s="181"/>
      <c r="ERS143" s="181"/>
      <c r="ERT143" s="181"/>
      <c r="ERU143" s="181"/>
      <c r="ERV143" s="181"/>
      <c r="ERW143" s="181"/>
      <c r="ERX143" s="181"/>
      <c r="ERY143" s="181"/>
      <c r="ERZ143" s="181"/>
      <c r="ESA143" s="181"/>
      <c r="ESB143" s="181"/>
      <c r="ESC143" s="181"/>
      <c r="ESD143" s="181"/>
      <c r="ESE143" s="181"/>
      <c r="ESF143" s="181"/>
      <c r="ESG143" s="181"/>
      <c r="ESH143" s="181"/>
      <c r="ESI143" s="181"/>
      <c r="ESJ143" s="181"/>
      <c r="ESK143" s="181"/>
      <c r="ESL143" s="181"/>
      <c r="ESM143" s="181"/>
      <c r="ESN143" s="181"/>
      <c r="ESO143" s="181"/>
      <c r="ESP143" s="181"/>
      <c r="ESQ143" s="181"/>
      <c r="ESR143" s="181"/>
      <c r="ESS143" s="181"/>
      <c r="EST143" s="181"/>
      <c r="ESU143" s="181"/>
      <c r="ESV143" s="181"/>
      <c r="ESW143" s="181"/>
      <c r="ESX143" s="181"/>
      <c r="ESY143" s="181"/>
      <c r="ESZ143" s="181"/>
      <c r="ETA143" s="181"/>
      <c r="ETB143" s="181"/>
      <c r="ETC143" s="181"/>
      <c r="ETD143" s="181"/>
      <c r="ETE143" s="181"/>
      <c r="ETF143" s="181"/>
      <c r="ETG143" s="181"/>
      <c r="ETH143" s="181"/>
      <c r="ETI143" s="181"/>
      <c r="ETJ143" s="181"/>
      <c r="ETK143" s="181"/>
      <c r="ETL143" s="181"/>
      <c r="ETM143" s="181"/>
      <c r="ETN143" s="181"/>
      <c r="ETO143" s="181"/>
      <c r="ETP143" s="181"/>
      <c r="ETQ143" s="181"/>
      <c r="ETR143" s="181"/>
      <c r="ETS143" s="181"/>
      <c r="ETT143" s="181"/>
      <c r="ETU143" s="181"/>
      <c r="ETV143" s="181"/>
      <c r="ETW143" s="181"/>
      <c r="ETX143" s="181"/>
      <c r="ETY143" s="181"/>
      <c r="ETZ143" s="181"/>
      <c r="EUA143" s="181"/>
      <c r="EUB143" s="181"/>
      <c r="EUC143" s="181"/>
      <c r="EUD143" s="181"/>
      <c r="EUE143" s="181"/>
      <c r="EUF143" s="181"/>
      <c r="EUG143" s="181"/>
      <c r="EUH143" s="181"/>
      <c r="EUI143" s="181"/>
      <c r="EUJ143" s="181"/>
      <c r="EUK143" s="181"/>
      <c r="EUL143" s="181"/>
      <c r="EUM143" s="181"/>
      <c r="EUN143" s="181"/>
      <c r="EUO143" s="181"/>
      <c r="EUP143" s="181"/>
      <c r="EUQ143" s="181"/>
      <c r="EUR143" s="181"/>
      <c r="EUS143" s="181"/>
      <c r="EUT143" s="181"/>
      <c r="EUU143" s="181"/>
      <c r="EUV143" s="181"/>
      <c r="EUW143" s="181"/>
      <c r="EUX143" s="181"/>
      <c r="EUY143" s="181"/>
      <c r="EUZ143" s="181"/>
      <c r="EVA143" s="181"/>
      <c r="EVB143" s="181"/>
      <c r="EVC143" s="181"/>
      <c r="EVD143" s="181"/>
      <c r="EVE143" s="181"/>
      <c r="EVF143" s="181"/>
      <c r="EVG143" s="181"/>
      <c r="EVH143" s="181"/>
      <c r="EVI143" s="181"/>
      <c r="EVJ143" s="181"/>
      <c r="EVK143" s="181"/>
      <c r="EVL143" s="181"/>
      <c r="EVM143" s="181"/>
      <c r="EVN143" s="181"/>
      <c r="EVO143" s="181"/>
      <c r="EVP143" s="181"/>
      <c r="EVQ143" s="181"/>
      <c r="EVR143" s="181"/>
      <c r="EVS143" s="181"/>
      <c r="EVT143" s="181"/>
      <c r="EVU143" s="181"/>
      <c r="EVV143" s="181"/>
      <c r="EVW143" s="181"/>
      <c r="EVX143" s="181"/>
      <c r="EVY143" s="181"/>
      <c r="EVZ143" s="181"/>
      <c r="EWA143" s="181"/>
      <c r="EWB143" s="181"/>
      <c r="EWC143" s="181"/>
      <c r="EWD143" s="181"/>
      <c r="EWE143" s="181"/>
      <c r="EWF143" s="181"/>
      <c r="EWG143" s="181"/>
      <c r="EWH143" s="181"/>
      <c r="EWI143" s="181"/>
      <c r="EWJ143" s="181"/>
      <c r="EWK143" s="181"/>
      <c r="EWL143" s="181"/>
      <c r="EWM143" s="181"/>
      <c r="EWN143" s="181"/>
      <c r="EWO143" s="181"/>
      <c r="EWP143" s="181"/>
      <c r="EWQ143" s="181"/>
      <c r="EWR143" s="181"/>
      <c r="EWS143" s="181"/>
      <c r="EWT143" s="181"/>
      <c r="EWU143" s="181"/>
      <c r="EWV143" s="181"/>
      <c r="EWW143" s="181"/>
      <c r="EWX143" s="181"/>
      <c r="EWY143" s="181"/>
      <c r="EWZ143" s="181"/>
      <c r="EXA143" s="181"/>
      <c r="EXB143" s="181"/>
      <c r="EXC143" s="181"/>
      <c r="EXD143" s="181"/>
      <c r="EXE143" s="181"/>
      <c r="EXF143" s="181"/>
      <c r="EXG143" s="181"/>
      <c r="EXH143" s="181"/>
      <c r="EXI143" s="181"/>
      <c r="EXJ143" s="181"/>
      <c r="EXK143" s="181"/>
      <c r="EXL143" s="181"/>
      <c r="EXM143" s="181"/>
      <c r="EXN143" s="181"/>
      <c r="EXO143" s="181"/>
      <c r="EXP143" s="181"/>
      <c r="EXQ143" s="181"/>
      <c r="EXR143" s="181"/>
      <c r="EXS143" s="181"/>
      <c r="EXT143" s="181"/>
      <c r="EXU143" s="181"/>
      <c r="EXV143" s="181"/>
      <c r="EXW143" s="181"/>
      <c r="EXX143" s="181"/>
      <c r="EXY143" s="181"/>
      <c r="EXZ143" s="181"/>
      <c r="EYA143" s="181"/>
      <c r="EYB143" s="181"/>
      <c r="EYC143" s="181"/>
      <c r="EYD143" s="181"/>
      <c r="EYE143" s="181"/>
      <c r="EYF143" s="181"/>
      <c r="EYG143" s="181"/>
      <c r="EYH143" s="181"/>
      <c r="EYI143" s="181"/>
      <c r="EYJ143" s="181"/>
      <c r="EYK143" s="181"/>
      <c r="EYL143" s="181"/>
      <c r="EYM143" s="181"/>
      <c r="EYN143" s="181"/>
      <c r="EYO143" s="181"/>
      <c r="EYP143" s="181"/>
      <c r="EYQ143" s="181"/>
      <c r="EYR143" s="181"/>
      <c r="EYS143" s="181"/>
      <c r="EYT143" s="181"/>
      <c r="EYU143" s="181"/>
      <c r="EYV143" s="181"/>
      <c r="EYW143" s="181"/>
      <c r="EYX143" s="181"/>
      <c r="EYY143" s="181"/>
      <c r="EYZ143" s="181"/>
      <c r="EZA143" s="181"/>
      <c r="EZB143" s="181"/>
      <c r="EZC143" s="181"/>
      <c r="EZD143" s="181"/>
      <c r="EZE143" s="181"/>
      <c r="EZF143" s="181"/>
      <c r="EZG143" s="181"/>
      <c r="EZH143" s="181"/>
      <c r="EZI143" s="181"/>
      <c r="EZJ143" s="181"/>
      <c r="EZK143" s="181"/>
      <c r="EZL143" s="181"/>
      <c r="EZM143" s="181"/>
      <c r="EZN143" s="181"/>
      <c r="EZO143" s="181"/>
      <c r="EZP143" s="181"/>
      <c r="EZQ143" s="181"/>
      <c r="EZR143" s="181"/>
      <c r="EZS143" s="181"/>
      <c r="EZT143" s="181"/>
      <c r="EZU143" s="181"/>
      <c r="EZV143" s="181"/>
      <c r="EZW143" s="181"/>
      <c r="EZX143" s="181"/>
      <c r="EZY143" s="181"/>
      <c r="EZZ143" s="181"/>
      <c r="FAA143" s="181"/>
      <c r="FAB143" s="181"/>
      <c r="FAC143" s="181"/>
      <c r="FAD143" s="181"/>
      <c r="FAE143" s="181"/>
      <c r="FAF143" s="181"/>
      <c r="FAG143" s="181"/>
      <c r="FAH143" s="181"/>
      <c r="FAI143" s="181"/>
      <c r="FAJ143" s="181"/>
      <c r="FAK143" s="181"/>
      <c r="FAL143" s="181"/>
      <c r="FAM143" s="181"/>
      <c r="FAN143" s="181"/>
      <c r="FAO143" s="181"/>
      <c r="FAP143" s="181"/>
      <c r="FAQ143" s="181"/>
      <c r="FAR143" s="181"/>
      <c r="FAS143" s="181"/>
      <c r="FAT143" s="181"/>
      <c r="FAU143" s="181"/>
      <c r="FAV143" s="181"/>
      <c r="FAW143" s="181"/>
      <c r="FAX143" s="181"/>
      <c r="FAY143" s="181"/>
      <c r="FAZ143" s="181"/>
      <c r="FBA143" s="181"/>
      <c r="FBB143" s="181"/>
      <c r="FBC143" s="181"/>
      <c r="FBD143" s="181"/>
      <c r="FBE143" s="181"/>
      <c r="FBF143" s="181"/>
      <c r="FBG143" s="181"/>
      <c r="FBH143" s="181"/>
      <c r="FBI143" s="181"/>
      <c r="FBJ143" s="181"/>
      <c r="FBK143" s="181"/>
      <c r="FBL143" s="181"/>
      <c r="FBM143" s="181"/>
      <c r="FBN143" s="181"/>
      <c r="FBO143" s="181"/>
      <c r="FBP143" s="181"/>
      <c r="FBQ143" s="181"/>
      <c r="FBR143" s="181"/>
      <c r="FBS143" s="181"/>
      <c r="FBT143" s="181"/>
      <c r="FBU143" s="181"/>
      <c r="FBV143" s="181"/>
      <c r="FBW143" s="181"/>
      <c r="FBX143" s="181"/>
      <c r="FBY143" s="181"/>
      <c r="FBZ143" s="181"/>
      <c r="FCA143" s="181"/>
      <c r="FCB143" s="181"/>
      <c r="FCC143" s="181"/>
      <c r="FCD143" s="181"/>
      <c r="FCE143" s="181"/>
      <c r="FCF143" s="181"/>
      <c r="FCG143" s="181"/>
      <c r="FCH143" s="181"/>
      <c r="FCI143" s="181"/>
      <c r="FCJ143" s="181"/>
      <c r="FCK143" s="181"/>
      <c r="FCL143" s="181"/>
      <c r="FCM143" s="181"/>
      <c r="FCN143" s="181"/>
      <c r="FCO143" s="181"/>
      <c r="FCP143" s="181"/>
      <c r="FCQ143" s="181"/>
      <c r="FCR143" s="181"/>
      <c r="FCS143" s="181"/>
      <c r="FCT143" s="181"/>
      <c r="FCU143" s="181"/>
      <c r="FCV143" s="181"/>
      <c r="FCW143" s="181"/>
      <c r="FCX143" s="181"/>
      <c r="FCY143" s="181"/>
      <c r="FCZ143" s="181"/>
      <c r="FDA143" s="181"/>
      <c r="FDB143" s="181"/>
      <c r="FDC143" s="181"/>
      <c r="FDD143" s="181"/>
      <c r="FDE143" s="181"/>
      <c r="FDF143" s="181"/>
      <c r="FDG143" s="181"/>
      <c r="FDH143" s="181"/>
      <c r="FDI143" s="181"/>
      <c r="FDJ143" s="181"/>
      <c r="FDK143" s="181"/>
      <c r="FDL143" s="181"/>
      <c r="FDM143" s="181"/>
      <c r="FDN143" s="181"/>
      <c r="FDO143" s="181"/>
      <c r="FDP143" s="181"/>
      <c r="FDQ143" s="181"/>
      <c r="FDR143" s="181"/>
      <c r="FDS143" s="181"/>
      <c r="FDT143" s="181"/>
      <c r="FDU143" s="181"/>
      <c r="FDV143" s="181"/>
      <c r="FDW143" s="181"/>
      <c r="FDX143" s="181"/>
      <c r="FDY143" s="181"/>
      <c r="FDZ143" s="181"/>
      <c r="FEA143" s="181"/>
      <c r="FEB143" s="181"/>
      <c r="FEC143" s="181"/>
      <c r="FED143" s="181"/>
      <c r="FEE143" s="181"/>
      <c r="FEF143" s="181"/>
      <c r="FEG143" s="181"/>
      <c r="FEH143" s="181"/>
      <c r="FEI143" s="181"/>
      <c r="FEJ143" s="181"/>
      <c r="FEK143" s="181"/>
      <c r="FEL143" s="181"/>
      <c r="FEM143" s="181"/>
      <c r="FEN143" s="181"/>
      <c r="FEO143" s="181"/>
      <c r="FEP143" s="181"/>
      <c r="FEQ143" s="181"/>
      <c r="FER143" s="181"/>
      <c r="FES143" s="181"/>
      <c r="FET143" s="181"/>
      <c r="FEU143" s="181"/>
      <c r="FEV143" s="181"/>
      <c r="FEW143" s="181"/>
      <c r="FEX143" s="181"/>
      <c r="FEY143" s="181"/>
      <c r="FEZ143" s="181"/>
      <c r="FFA143" s="181"/>
      <c r="FFB143" s="181"/>
      <c r="FFC143" s="181"/>
      <c r="FFD143" s="181"/>
      <c r="FFE143" s="181"/>
      <c r="FFF143" s="181"/>
      <c r="FFG143" s="181"/>
      <c r="FFH143" s="181"/>
      <c r="FFI143" s="181"/>
      <c r="FFJ143" s="181"/>
      <c r="FFK143" s="181"/>
      <c r="FFL143" s="181"/>
      <c r="FFM143" s="181"/>
      <c r="FFN143" s="181"/>
      <c r="FFO143" s="181"/>
      <c r="FFP143" s="181"/>
      <c r="FFQ143" s="181"/>
      <c r="FFR143" s="181"/>
      <c r="FFS143" s="181"/>
      <c r="FFT143" s="181"/>
      <c r="FFU143" s="181"/>
      <c r="FFV143" s="181"/>
      <c r="FFW143" s="181"/>
      <c r="FFX143" s="181"/>
      <c r="FFY143" s="181"/>
      <c r="FFZ143" s="181"/>
      <c r="FGA143" s="181"/>
      <c r="FGB143" s="181"/>
      <c r="FGC143" s="181"/>
      <c r="FGD143" s="181"/>
      <c r="FGE143" s="181"/>
      <c r="FGF143" s="181"/>
      <c r="FGG143" s="181"/>
      <c r="FGH143" s="181"/>
      <c r="FGI143" s="181"/>
      <c r="FGJ143" s="181"/>
      <c r="FGK143" s="181"/>
      <c r="FGL143" s="181"/>
      <c r="FGM143" s="181"/>
      <c r="FGN143" s="181"/>
      <c r="FGO143" s="181"/>
      <c r="FGP143" s="181"/>
      <c r="FGQ143" s="181"/>
      <c r="FGR143" s="181"/>
      <c r="FGS143" s="181"/>
      <c r="FGT143" s="181"/>
      <c r="FGU143" s="181"/>
      <c r="FGV143" s="181"/>
      <c r="FGW143" s="181"/>
      <c r="FGX143" s="181"/>
      <c r="FGY143" s="181"/>
      <c r="FGZ143" s="181"/>
      <c r="FHA143" s="181"/>
      <c r="FHB143" s="181"/>
      <c r="FHC143" s="181"/>
      <c r="FHD143" s="181"/>
      <c r="FHE143" s="181"/>
      <c r="FHF143" s="181"/>
      <c r="FHG143" s="181"/>
      <c r="FHH143" s="181"/>
      <c r="FHI143" s="181"/>
      <c r="FHJ143" s="181"/>
      <c r="FHK143" s="181"/>
      <c r="FHL143" s="181"/>
      <c r="FHM143" s="181"/>
      <c r="FHN143" s="181"/>
      <c r="FHO143" s="181"/>
      <c r="FHP143" s="181"/>
      <c r="FHQ143" s="181"/>
      <c r="FHR143" s="181"/>
      <c r="FHS143" s="181"/>
      <c r="FHT143" s="181"/>
      <c r="FHU143" s="181"/>
      <c r="FHV143" s="181"/>
      <c r="FHW143" s="181"/>
      <c r="FHX143" s="181"/>
      <c r="FHY143" s="181"/>
      <c r="FHZ143" s="181"/>
      <c r="FIA143" s="181"/>
      <c r="FIB143" s="181"/>
      <c r="FIC143" s="181"/>
      <c r="FID143" s="181"/>
      <c r="FIE143" s="181"/>
      <c r="FIF143" s="181"/>
      <c r="FIG143" s="181"/>
      <c r="FIH143" s="181"/>
      <c r="FII143" s="181"/>
      <c r="FIJ143" s="181"/>
      <c r="FIK143" s="181"/>
      <c r="FIL143" s="181"/>
      <c r="FIM143" s="181"/>
      <c r="FIN143" s="181"/>
      <c r="FIO143" s="181"/>
      <c r="FIP143" s="181"/>
      <c r="FIQ143" s="181"/>
      <c r="FIR143" s="181"/>
      <c r="FIS143" s="181"/>
      <c r="FIT143" s="181"/>
      <c r="FIU143" s="181"/>
      <c r="FIV143" s="181"/>
      <c r="FIW143" s="181"/>
      <c r="FIX143" s="181"/>
      <c r="FIY143" s="181"/>
      <c r="FIZ143" s="181"/>
      <c r="FJA143" s="181"/>
      <c r="FJB143" s="181"/>
      <c r="FJC143" s="181"/>
      <c r="FJD143" s="181"/>
      <c r="FJE143" s="181"/>
      <c r="FJF143" s="181"/>
      <c r="FJG143" s="181"/>
      <c r="FJH143" s="181"/>
      <c r="FJI143" s="181"/>
      <c r="FJJ143" s="181"/>
      <c r="FJK143" s="181"/>
      <c r="FJL143" s="181"/>
      <c r="FJM143" s="181"/>
      <c r="FJN143" s="181"/>
      <c r="FJO143" s="181"/>
      <c r="FJP143" s="181"/>
      <c r="FJQ143" s="181"/>
      <c r="FJR143" s="181"/>
      <c r="FJS143" s="181"/>
      <c r="FJT143" s="181"/>
      <c r="FJU143" s="181"/>
      <c r="FJV143" s="181"/>
      <c r="FJW143" s="181"/>
      <c r="FJX143" s="181"/>
      <c r="FJY143" s="181"/>
      <c r="FJZ143" s="181"/>
      <c r="FKA143" s="181"/>
      <c r="FKB143" s="181"/>
      <c r="FKC143" s="181"/>
      <c r="FKD143" s="181"/>
      <c r="FKE143" s="181"/>
      <c r="FKF143" s="181"/>
      <c r="FKG143" s="181"/>
      <c r="FKH143" s="181"/>
      <c r="FKI143" s="181"/>
      <c r="FKJ143" s="181"/>
      <c r="FKK143" s="181"/>
      <c r="FKL143" s="181"/>
      <c r="FKM143" s="181"/>
      <c r="FKN143" s="181"/>
      <c r="FKO143" s="181"/>
      <c r="FKP143" s="181"/>
      <c r="FKQ143" s="181"/>
      <c r="FKR143" s="181"/>
      <c r="FKS143" s="181"/>
      <c r="FKT143" s="181"/>
      <c r="FKU143" s="181"/>
      <c r="FKV143" s="181"/>
      <c r="FKW143" s="181"/>
      <c r="FKX143" s="181"/>
      <c r="FKY143" s="181"/>
      <c r="FKZ143" s="181"/>
      <c r="FLA143" s="181"/>
      <c r="FLB143" s="181"/>
      <c r="FLC143" s="181"/>
      <c r="FLD143" s="181"/>
      <c r="FLE143" s="181"/>
      <c r="FLF143" s="181"/>
      <c r="FLG143" s="181"/>
      <c r="FLH143" s="181"/>
      <c r="FLI143" s="181"/>
      <c r="FLJ143" s="181"/>
      <c r="FLK143" s="181"/>
      <c r="FLL143" s="181"/>
      <c r="FLM143" s="181"/>
      <c r="FLN143" s="181"/>
      <c r="FLO143" s="181"/>
      <c r="FLP143" s="181"/>
      <c r="FLQ143" s="181"/>
      <c r="FLR143" s="181"/>
      <c r="FLS143" s="181"/>
      <c r="FLT143" s="181"/>
      <c r="FLU143" s="181"/>
      <c r="FLV143" s="181"/>
      <c r="FLW143" s="181"/>
      <c r="FLX143" s="181"/>
      <c r="FLY143" s="181"/>
      <c r="FLZ143" s="181"/>
      <c r="FMA143" s="181"/>
      <c r="FMB143" s="181"/>
      <c r="FMC143" s="181"/>
      <c r="FMD143" s="181"/>
      <c r="FME143" s="181"/>
      <c r="FMF143" s="181"/>
      <c r="FMG143" s="181"/>
      <c r="FMH143" s="181"/>
      <c r="FMI143" s="181"/>
      <c r="FMJ143" s="181"/>
      <c r="FMK143" s="181"/>
      <c r="FML143" s="181"/>
      <c r="FMM143" s="181"/>
      <c r="FMN143" s="181"/>
      <c r="FMO143" s="181"/>
      <c r="FMP143" s="181"/>
      <c r="FMQ143" s="181"/>
      <c r="FMR143" s="181"/>
      <c r="FMS143" s="181"/>
      <c r="FMT143" s="181"/>
      <c r="FMU143" s="181"/>
      <c r="FMV143" s="181"/>
      <c r="FMW143" s="181"/>
      <c r="FMX143" s="181"/>
      <c r="FMY143" s="181"/>
      <c r="FMZ143" s="181"/>
      <c r="FNA143" s="181"/>
      <c r="FNB143" s="181"/>
      <c r="FNC143" s="181"/>
      <c r="FND143" s="181"/>
      <c r="FNE143" s="181"/>
      <c r="FNF143" s="181"/>
      <c r="FNG143" s="181"/>
      <c r="FNH143" s="181"/>
      <c r="FNI143" s="181"/>
      <c r="FNJ143" s="181"/>
      <c r="FNK143" s="181"/>
      <c r="FNL143" s="181"/>
      <c r="FNM143" s="181"/>
      <c r="FNN143" s="181"/>
      <c r="FNO143" s="181"/>
      <c r="FNP143" s="181"/>
      <c r="FNQ143" s="181"/>
      <c r="FNR143" s="181"/>
      <c r="FNS143" s="181"/>
      <c r="FNT143" s="181"/>
      <c r="FNU143" s="181"/>
      <c r="FNV143" s="181"/>
      <c r="FNW143" s="181"/>
      <c r="FNX143" s="181"/>
      <c r="FNY143" s="181"/>
      <c r="FNZ143" s="181"/>
      <c r="FOA143" s="181"/>
      <c r="FOB143" s="181"/>
      <c r="FOC143" s="181"/>
      <c r="FOD143" s="181"/>
      <c r="FOE143" s="181"/>
      <c r="FOF143" s="181"/>
      <c r="FOG143" s="181"/>
      <c r="FOH143" s="181"/>
      <c r="FOI143" s="181"/>
      <c r="FOJ143" s="181"/>
      <c r="FOK143" s="181"/>
      <c r="FOL143" s="181"/>
      <c r="FOM143" s="181"/>
      <c r="FON143" s="181"/>
      <c r="FOO143" s="181"/>
      <c r="FOP143" s="181"/>
      <c r="FOQ143" s="181"/>
      <c r="FOR143" s="181"/>
      <c r="FOS143" s="181"/>
      <c r="FOT143" s="181"/>
      <c r="FOU143" s="181"/>
      <c r="FOV143" s="181"/>
      <c r="FOW143" s="181"/>
      <c r="FOX143" s="181"/>
      <c r="FOY143" s="181"/>
      <c r="FOZ143" s="181"/>
      <c r="FPA143" s="181"/>
      <c r="FPB143" s="181"/>
      <c r="FPC143" s="181"/>
      <c r="FPD143" s="181"/>
      <c r="FPE143" s="181"/>
      <c r="FPF143" s="181"/>
      <c r="FPG143" s="181"/>
      <c r="FPH143" s="181"/>
      <c r="FPI143" s="181"/>
      <c r="FPJ143" s="181"/>
      <c r="FPK143" s="181"/>
      <c r="FPL143" s="181"/>
      <c r="FPM143" s="181"/>
      <c r="FPN143" s="181"/>
      <c r="FPO143" s="181"/>
      <c r="FPP143" s="181"/>
      <c r="FPQ143" s="181"/>
      <c r="FPR143" s="181"/>
      <c r="FPS143" s="181"/>
      <c r="FPT143" s="181"/>
      <c r="FPU143" s="181"/>
      <c r="FPV143" s="181"/>
      <c r="FPW143" s="181"/>
      <c r="FPX143" s="181"/>
      <c r="FPY143" s="181"/>
      <c r="FPZ143" s="181"/>
      <c r="FQA143" s="181"/>
      <c r="FQB143" s="181"/>
      <c r="FQC143" s="181"/>
      <c r="FQD143" s="181"/>
      <c r="FQE143" s="181"/>
      <c r="FQF143" s="181"/>
      <c r="FQG143" s="181"/>
      <c r="FQH143" s="181"/>
      <c r="FQI143" s="181"/>
      <c r="FQJ143" s="181"/>
      <c r="FQK143" s="181"/>
      <c r="FQL143" s="181"/>
      <c r="FQM143" s="181"/>
      <c r="FQN143" s="181"/>
      <c r="FQO143" s="181"/>
      <c r="FQP143" s="181"/>
      <c r="FQQ143" s="181"/>
      <c r="FQR143" s="181"/>
      <c r="FQS143" s="181"/>
      <c r="FQT143" s="181"/>
      <c r="FQU143" s="181"/>
      <c r="FQV143" s="181"/>
      <c r="FQW143" s="181"/>
      <c r="FQX143" s="181"/>
      <c r="FQY143" s="181"/>
      <c r="FQZ143" s="181"/>
      <c r="FRA143" s="181"/>
      <c r="FRB143" s="181"/>
      <c r="FRC143" s="181"/>
      <c r="FRD143" s="181"/>
      <c r="FRE143" s="181"/>
      <c r="FRF143" s="181"/>
      <c r="FRG143" s="181"/>
      <c r="FRH143" s="181"/>
      <c r="FRI143" s="181"/>
      <c r="FRJ143" s="181"/>
      <c r="FRK143" s="181"/>
      <c r="FRL143" s="181"/>
      <c r="FRM143" s="181"/>
      <c r="FRN143" s="181"/>
      <c r="FRO143" s="181"/>
      <c r="FRP143" s="181"/>
      <c r="FRQ143" s="181"/>
      <c r="FRR143" s="181"/>
      <c r="FRS143" s="181"/>
      <c r="FRT143" s="181"/>
      <c r="FRU143" s="181"/>
      <c r="FRV143" s="181"/>
      <c r="FRW143" s="181"/>
      <c r="FRX143" s="181"/>
      <c r="FRY143" s="181"/>
      <c r="FRZ143" s="181"/>
      <c r="FSA143" s="181"/>
      <c r="FSB143" s="181"/>
      <c r="FSC143" s="181"/>
      <c r="FSD143" s="181"/>
      <c r="FSE143" s="181"/>
      <c r="FSF143" s="181"/>
      <c r="FSG143" s="181"/>
      <c r="FSH143" s="181"/>
      <c r="FSI143" s="181"/>
      <c r="FSJ143" s="181"/>
      <c r="FSK143" s="181"/>
      <c r="FSL143" s="181"/>
      <c r="FSM143" s="181"/>
      <c r="FSN143" s="181"/>
      <c r="FSO143" s="181"/>
      <c r="FSP143" s="181"/>
      <c r="FSQ143" s="181"/>
      <c r="FSR143" s="181"/>
      <c r="FSS143" s="181"/>
      <c r="FST143" s="181"/>
      <c r="FSU143" s="181"/>
      <c r="FSV143" s="181"/>
      <c r="FSW143" s="181"/>
      <c r="FSX143" s="181"/>
      <c r="FSY143" s="181"/>
      <c r="FSZ143" s="181"/>
      <c r="FTA143" s="181"/>
      <c r="FTB143" s="181"/>
      <c r="FTC143" s="181"/>
      <c r="FTD143" s="181"/>
      <c r="FTE143" s="181"/>
      <c r="FTF143" s="181"/>
      <c r="FTG143" s="181"/>
      <c r="FTH143" s="181"/>
      <c r="FTI143" s="181"/>
      <c r="FTJ143" s="181"/>
      <c r="FTK143" s="181"/>
      <c r="FTL143" s="181"/>
      <c r="FTM143" s="181"/>
      <c r="FTN143" s="181"/>
      <c r="FTO143" s="181"/>
      <c r="FTP143" s="181"/>
      <c r="FTQ143" s="181"/>
      <c r="FTR143" s="181"/>
      <c r="FTS143" s="181"/>
      <c r="FTT143" s="181"/>
      <c r="FTU143" s="181"/>
      <c r="FTV143" s="181"/>
      <c r="FTW143" s="181"/>
      <c r="FTX143" s="181"/>
      <c r="FTY143" s="181"/>
      <c r="FTZ143" s="181"/>
      <c r="FUA143" s="181"/>
      <c r="FUB143" s="181"/>
      <c r="FUC143" s="181"/>
      <c r="FUD143" s="181"/>
      <c r="FUE143" s="181"/>
      <c r="FUF143" s="181"/>
      <c r="FUG143" s="181"/>
      <c r="FUH143" s="181"/>
      <c r="FUI143" s="181"/>
      <c r="FUJ143" s="181"/>
      <c r="FUK143" s="181"/>
      <c r="FUL143" s="181"/>
      <c r="FUM143" s="181"/>
      <c r="FUN143" s="181"/>
      <c r="FUO143" s="181"/>
      <c r="FUP143" s="181"/>
      <c r="FUQ143" s="181"/>
      <c r="FUR143" s="181"/>
      <c r="FUS143" s="181"/>
      <c r="FUT143" s="181"/>
      <c r="FUU143" s="181"/>
      <c r="FUV143" s="181"/>
      <c r="FUW143" s="181"/>
      <c r="FUX143" s="181"/>
      <c r="FUY143" s="181"/>
      <c r="FUZ143" s="181"/>
      <c r="FVA143" s="181"/>
      <c r="FVB143" s="181"/>
      <c r="FVC143" s="181"/>
      <c r="FVD143" s="181"/>
      <c r="FVE143" s="181"/>
      <c r="FVF143" s="181"/>
      <c r="FVG143" s="181"/>
      <c r="FVH143" s="181"/>
      <c r="FVI143" s="181"/>
      <c r="FVJ143" s="181"/>
      <c r="FVK143" s="181"/>
      <c r="FVL143" s="181"/>
      <c r="FVM143" s="181"/>
      <c r="FVN143" s="181"/>
      <c r="FVO143" s="181"/>
      <c r="FVP143" s="181"/>
      <c r="FVQ143" s="181"/>
      <c r="FVR143" s="181"/>
      <c r="FVS143" s="181"/>
      <c r="FVT143" s="181"/>
      <c r="FVU143" s="181"/>
      <c r="FVV143" s="181"/>
      <c r="FVW143" s="181"/>
      <c r="FVX143" s="181"/>
      <c r="FVY143" s="181"/>
      <c r="FVZ143" s="181"/>
      <c r="FWA143" s="181"/>
      <c r="FWB143" s="181"/>
      <c r="FWC143" s="181"/>
      <c r="FWD143" s="181"/>
      <c r="FWE143" s="181"/>
      <c r="FWF143" s="181"/>
      <c r="FWG143" s="181"/>
      <c r="FWH143" s="181"/>
      <c r="FWI143" s="181"/>
      <c r="FWJ143" s="181"/>
      <c r="FWK143" s="181"/>
      <c r="FWL143" s="181"/>
      <c r="FWM143" s="181"/>
      <c r="FWN143" s="181"/>
      <c r="FWO143" s="181"/>
      <c r="FWP143" s="181"/>
      <c r="FWQ143" s="181"/>
      <c r="FWR143" s="181"/>
      <c r="FWS143" s="181"/>
      <c r="FWT143" s="181"/>
      <c r="FWU143" s="181"/>
      <c r="FWV143" s="181"/>
      <c r="FWW143" s="181"/>
      <c r="FWX143" s="181"/>
      <c r="FWY143" s="181"/>
      <c r="FWZ143" s="181"/>
      <c r="FXA143" s="181"/>
      <c r="FXB143" s="181"/>
      <c r="FXC143" s="181"/>
      <c r="FXD143" s="181"/>
      <c r="FXE143" s="181"/>
      <c r="FXF143" s="181"/>
      <c r="FXG143" s="181"/>
      <c r="FXH143" s="181"/>
      <c r="FXI143" s="181"/>
      <c r="FXJ143" s="181"/>
      <c r="FXK143" s="181"/>
      <c r="FXL143" s="181"/>
      <c r="FXM143" s="181"/>
      <c r="FXN143" s="181"/>
      <c r="FXO143" s="181"/>
      <c r="FXP143" s="181"/>
      <c r="FXQ143" s="181"/>
      <c r="FXR143" s="181"/>
      <c r="FXS143" s="181"/>
      <c r="FXT143" s="181"/>
      <c r="FXU143" s="181"/>
      <c r="FXV143" s="181"/>
      <c r="FXW143" s="181"/>
      <c r="FXX143" s="181"/>
      <c r="FXY143" s="181"/>
      <c r="FXZ143" s="181"/>
      <c r="FYA143" s="181"/>
      <c r="FYB143" s="181"/>
      <c r="FYC143" s="181"/>
      <c r="FYD143" s="181"/>
      <c r="FYE143" s="181"/>
      <c r="FYF143" s="181"/>
      <c r="FYG143" s="181"/>
      <c r="FYH143" s="181"/>
      <c r="FYI143" s="181"/>
      <c r="FYJ143" s="181"/>
      <c r="FYK143" s="181"/>
      <c r="FYL143" s="181"/>
      <c r="FYM143" s="181"/>
      <c r="FYN143" s="181"/>
      <c r="FYO143" s="181"/>
      <c r="FYP143" s="181"/>
      <c r="FYQ143" s="181"/>
      <c r="FYR143" s="181"/>
      <c r="FYS143" s="181"/>
      <c r="FYT143" s="181"/>
      <c r="FYU143" s="181"/>
      <c r="FYV143" s="181"/>
      <c r="FYW143" s="181"/>
      <c r="FYX143" s="181"/>
      <c r="FYY143" s="181"/>
      <c r="FYZ143" s="181"/>
      <c r="FZA143" s="181"/>
      <c r="FZB143" s="181"/>
      <c r="FZC143" s="181"/>
      <c r="FZD143" s="181"/>
      <c r="FZE143" s="181"/>
      <c r="FZF143" s="181"/>
      <c r="FZG143" s="181"/>
      <c r="FZH143" s="181"/>
      <c r="FZI143" s="181"/>
      <c r="FZJ143" s="181"/>
      <c r="FZK143" s="181"/>
      <c r="FZL143" s="181"/>
      <c r="FZM143" s="181"/>
      <c r="FZN143" s="181"/>
      <c r="FZO143" s="181"/>
      <c r="FZP143" s="181"/>
      <c r="FZQ143" s="181"/>
      <c r="FZR143" s="181"/>
      <c r="FZS143" s="181"/>
      <c r="FZT143" s="181"/>
      <c r="FZU143" s="181"/>
      <c r="FZV143" s="181"/>
      <c r="FZW143" s="181"/>
      <c r="FZX143" s="181"/>
      <c r="FZY143" s="181"/>
      <c r="FZZ143" s="181"/>
      <c r="GAA143" s="181"/>
      <c r="GAB143" s="181"/>
      <c r="GAC143" s="181"/>
      <c r="GAD143" s="181"/>
      <c r="GAE143" s="181"/>
      <c r="GAF143" s="181"/>
      <c r="GAG143" s="181"/>
      <c r="GAH143" s="181"/>
      <c r="GAI143" s="181"/>
      <c r="GAJ143" s="181"/>
      <c r="GAK143" s="181"/>
      <c r="GAL143" s="181"/>
      <c r="GAM143" s="181"/>
      <c r="GAN143" s="181"/>
      <c r="GAO143" s="181"/>
      <c r="GAP143" s="181"/>
      <c r="GAQ143" s="181"/>
      <c r="GAR143" s="181"/>
      <c r="GAS143" s="181"/>
      <c r="GAT143" s="181"/>
      <c r="GAU143" s="181"/>
      <c r="GAV143" s="181"/>
      <c r="GAW143" s="181"/>
      <c r="GAX143" s="181"/>
      <c r="GAY143" s="181"/>
      <c r="GAZ143" s="181"/>
      <c r="GBA143" s="181"/>
      <c r="GBB143" s="181"/>
      <c r="GBC143" s="181"/>
      <c r="GBD143" s="181"/>
      <c r="GBE143" s="181"/>
      <c r="GBF143" s="181"/>
      <c r="GBG143" s="181"/>
      <c r="GBH143" s="181"/>
      <c r="GBI143" s="181"/>
      <c r="GBJ143" s="181"/>
      <c r="GBK143" s="181"/>
      <c r="GBL143" s="181"/>
      <c r="GBM143" s="181"/>
      <c r="GBN143" s="181"/>
      <c r="GBO143" s="181"/>
      <c r="GBP143" s="181"/>
      <c r="GBQ143" s="181"/>
      <c r="GBR143" s="181"/>
      <c r="GBS143" s="181"/>
      <c r="GBT143" s="181"/>
      <c r="GBU143" s="181"/>
      <c r="GBV143" s="181"/>
      <c r="GBW143" s="181"/>
      <c r="GBX143" s="181"/>
      <c r="GBY143" s="181"/>
      <c r="GBZ143" s="181"/>
      <c r="GCA143" s="181"/>
      <c r="GCB143" s="181"/>
      <c r="GCC143" s="181"/>
      <c r="GCD143" s="181"/>
      <c r="GCE143" s="181"/>
      <c r="GCF143" s="181"/>
      <c r="GCG143" s="181"/>
      <c r="GCH143" s="181"/>
      <c r="GCI143" s="181"/>
      <c r="GCJ143" s="181"/>
      <c r="GCK143" s="181"/>
      <c r="GCL143" s="181"/>
      <c r="GCM143" s="181"/>
      <c r="GCN143" s="181"/>
      <c r="GCO143" s="181"/>
      <c r="GCP143" s="181"/>
      <c r="GCQ143" s="181"/>
      <c r="GCR143" s="181"/>
      <c r="GCS143" s="181"/>
      <c r="GCT143" s="181"/>
      <c r="GCU143" s="181"/>
      <c r="GCV143" s="181"/>
      <c r="GCW143" s="181"/>
      <c r="GCX143" s="181"/>
      <c r="GCY143" s="181"/>
      <c r="GCZ143" s="181"/>
      <c r="GDA143" s="181"/>
      <c r="GDB143" s="181"/>
      <c r="GDC143" s="181"/>
      <c r="GDD143" s="181"/>
      <c r="GDE143" s="181"/>
      <c r="GDF143" s="181"/>
      <c r="GDG143" s="181"/>
      <c r="GDH143" s="181"/>
      <c r="GDI143" s="181"/>
      <c r="GDJ143" s="181"/>
      <c r="GDK143" s="181"/>
      <c r="GDL143" s="181"/>
      <c r="GDM143" s="181"/>
      <c r="GDN143" s="181"/>
      <c r="GDO143" s="181"/>
      <c r="GDP143" s="181"/>
      <c r="GDQ143" s="181"/>
      <c r="GDR143" s="181"/>
      <c r="GDS143" s="181"/>
      <c r="GDT143" s="181"/>
      <c r="GDU143" s="181"/>
      <c r="GDV143" s="181"/>
      <c r="GDW143" s="181"/>
      <c r="GDX143" s="181"/>
      <c r="GDY143" s="181"/>
      <c r="GDZ143" s="181"/>
      <c r="GEA143" s="181"/>
      <c r="GEB143" s="181"/>
      <c r="GEC143" s="181"/>
      <c r="GED143" s="181"/>
      <c r="GEE143" s="181"/>
      <c r="GEF143" s="181"/>
      <c r="GEG143" s="181"/>
      <c r="GEH143" s="181"/>
      <c r="GEI143" s="181"/>
      <c r="GEJ143" s="181"/>
      <c r="GEK143" s="181"/>
      <c r="GEL143" s="181"/>
      <c r="GEM143" s="181"/>
      <c r="GEN143" s="181"/>
      <c r="GEO143" s="181"/>
      <c r="GEP143" s="181"/>
      <c r="GEQ143" s="181"/>
      <c r="GER143" s="181"/>
      <c r="GES143" s="181"/>
      <c r="GET143" s="181"/>
      <c r="GEU143" s="181"/>
      <c r="GEV143" s="181"/>
      <c r="GEW143" s="181"/>
      <c r="GEX143" s="181"/>
      <c r="GEY143" s="181"/>
      <c r="GEZ143" s="181"/>
      <c r="GFA143" s="181"/>
      <c r="GFB143" s="181"/>
      <c r="GFC143" s="181"/>
      <c r="GFD143" s="181"/>
      <c r="GFE143" s="181"/>
      <c r="GFF143" s="181"/>
      <c r="GFG143" s="181"/>
      <c r="GFH143" s="181"/>
      <c r="GFI143" s="181"/>
      <c r="GFJ143" s="181"/>
      <c r="GFK143" s="181"/>
      <c r="GFL143" s="181"/>
      <c r="GFM143" s="181"/>
      <c r="GFN143" s="181"/>
      <c r="GFO143" s="181"/>
      <c r="GFP143" s="181"/>
      <c r="GFQ143" s="181"/>
      <c r="GFR143" s="181"/>
      <c r="GFS143" s="181"/>
      <c r="GFT143" s="181"/>
      <c r="GFU143" s="181"/>
      <c r="GFV143" s="181"/>
      <c r="GFW143" s="181"/>
      <c r="GFX143" s="181"/>
      <c r="GFY143" s="181"/>
      <c r="GFZ143" s="181"/>
      <c r="GGA143" s="181"/>
      <c r="GGB143" s="181"/>
      <c r="GGC143" s="181"/>
      <c r="GGD143" s="181"/>
      <c r="GGE143" s="181"/>
      <c r="GGF143" s="181"/>
      <c r="GGG143" s="181"/>
      <c r="GGH143" s="181"/>
      <c r="GGI143" s="181"/>
      <c r="GGJ143" s="181"/>
      <c r="GGK143" s="181"/>
      <c r="GGL143" s="181"/>
      <c r="GGM143" s="181"/>
      <c r="GGN143" s="181"/>
      <c r="GGO143" s="181"/>
      <c r="GGP143" s="181"/>
      <c r="GGQ143" s="181"/>
      <c r="GGR143" s="181"/>
      <c r="GGS143" s="181"/>
      <c r="GGT143" s="181"/>
      <c r="GGU143" s="181"/>
      <c r="GGV143" s="181"/>
      <c r="GGW143" s="181"/>
      <c r="GGX143" s="181"/>
      <c r="GGY143" s="181"/>
      <c r="GGZ143" s="181"/>
      <c r="GHA143" s="181"/>
      <c r="GHB143" s="181"/>
      <c r="GHC143" s="181"/>
      <c r="GHD143" s="181"/>
      <c r="GHE143" s="181"/>
      <c r="GHF143" s="181"/>
      <c r="GHG143" s="181"/>
      <c r="GHH143" s="181"/>
      <c r="GHI143" s="181"/>
      <c r="GHJ143" s="181"/>
      <c r="GHK143" s="181"/>
      <c r="GHL143" s="181"/>
      <c r="GHM143" s="181"/>
      <c r="GHN143" s="181"/>
      <c r="GHO143" s="181"/>
      <c r="GHP143" s="181"/>
      <c r="GHQ143" s="181"/>
      <c r="GHR143" s="181"/>
      <c r="GHS143" s="181"/>
      <c r="GHT143" s="181"/>
      <c r="GHU143" s="181"/>
      <c r="GHV143" s="181"/>
      <c r="GHW143" s="181"/>
      <c r="GHX143" s="181"/>
      <c r="GHY143" s="181"/>
      <c r="GHZ143" s="181"/>
      <c r="GIA143" s="181"/>
      <c r="GIB143" s="181"/>
      <c r="GIC143" s="181"/>
      <c r="GID143" s="181"/>
      <c r="GIE143" s="181"/>
      <c r="GIF143" s="181"/>
      <c r="GIG143" s="181"/>
      <c r="GIH143" s="181"/>
      <c r="GII143" s="181"/>
      <c r="GIJ143" s="181"/>
      <c r="GIK143" s="181"/>
      <c r="GIL143" s="181"/>
      <c r="GIM143" s="181"/>
      <c r="GIN143" s="181"/>
      <c r="GIO143" s="181"/>
      <c r="GIP143" s="181"/>
      <c r="GIQ143" s="181"/>
      <c r="GIR143" s="181"/>
      <c r="GIS143" s="181"/>
      <c r="GIT143" s="181"/>
      <c r="GIU143" s="181"/>
      <c r="GIV143" s="181"/>
      <c r="GIW143" s="181"/>
      <c r="GIX143" s="181"/>
      <c r="GIY143" s="181"/>
      <c r="GIZ143" s="181"/>
      <c r="GJA143" s="181"/>
      <c r="GJB143" s="181"/>
      <c r="GJC143" s="181"/>
      <c r="GJD143" s="181"/>
      <c r="GJE143" s="181"/>
      <c r="GJF143" s="181"/>
      <c r="GJG143" s="181"/>
      <c r="GJH143" s="181"/>
      <c r="GJI143" s="181"/>
      <c r="GJJ143" s="181"/>
      <c r="GJK143" s="181"/>
      <c r="GJL143" s="181"/>
      <c r="GJM143" s="181"/>
      <c r="GJN143" s="181"/>
      <c r="GJO143" s="181"/>
      <c r="GJP143" s="181"/>
      <c r="GJQ143" s="181"/>
      <c r="GJR143" s="181"/>
      <c r="GJS143" s="181"/>
      <c r="GJT143" s="181"/>
      <c r="GJU143" s="181"/>
      <c r="GJV143" s="181"/>
      <c r="GJW143" s="181"/>
      <c r="GJX143" s="181"/>
      <c r="GJY143" s="181"/>
      <c r="GJZ143" s="181"/>
      <c r="GKA143" s="181"/>
      <c r="GKB143" s="181"/>
      <c r="GKC143" s="181"/>
      <c r="GKD143" s="181"/>
      <c r="GKE143" s="181"/>
      <c r="GKF143" s="181"/>
      <c r="GKG143" s="181"/>
      <c r="GKH143" s="181"/>
      <c r="GKI143" s="181"/>
      <c r="GKJ143" s="181"/>
      <c r="GKK143" s="181"/>
      <c r="GKL143" s="181"/>
      <c r="GKM143" s="181"/>
      <c r="GKN143" s="181"/>
      <c r="GKO143" s="181"/>
      <c r="GKP143" s="181"/>
      <c r="GKQ143" s="181"/>
      <c r="GKR143" s="181"/>
      <c r="GKS143" s="181"/>
      <c r="GKT143" s="181"/>
      <c r="GKU143" s="181"/>
      <c r="GKV143" s="181"/>
      <c r="GKW143" s="181"/>
      <c r="GKX143" s="181"/>
      <c r="GKY143" s="181"/>
      <c r="GKZ143" s="181"/>
      <c r="GLA143" s="181"/>
      <c r="GLB143" s="181"/>
      <c r="GLC143" s="181"/>
      <c r="GLD143" s="181"/>
      <c r="GLE143" s="181"/>
      <c r="GLF143" s="181"/>
      <c r="GLG143" s="181"/>
      <c r="GLH143" s="181"/>
      <c r="GLI143" s="181"/>
      <c r="GLJ143" s="181"/>
      <c r="GLK143" s="181"/>
      <c r="GLL143" s="181"/>
      <c r="GLM143" s="181"/>
      <c r="GLN143" s="181"/>
      <c r="GLO143" s="181"/>
      <c r="GLP143" s="181"/>
      <c r="GLQ143" s="181"/>
      <c r="GLR143" s="181"/>
      <c r="GLS143" s="181"/>
      <c r="GLT143" s="181"/>
      <c r="GLU143" s="181"/>
      <c r="GLV143" s="181"/>
      <c r="GLW143" s="181"/>
      <c r="GLX143" s="181"/>
      <c r="GLY143" s="181"/>
      <c r="GLZ143" s="181"/>
      <c r="GMA143" s="181"/>
      <c r="GMB143" s="181"/>
      <c r="GMC143" s="181"/>
      <c r="GMD143" s="181"/>
      <c r="GME143" s="181"/>
      <c r="GMF143" s="181"/>
      <c r="GMG143" s="181"/>
      <c r="GMH143" s="181"/>
      <c r="GMI143" s="181"/>
      <c r="GMJ143" s="181"/>
      <c r="GMK143" s="181"/>
      <c r="GML143" s="181"/>
      <c r="GMM143" s="181"/>
      <c r="GMN143" s="181"/>
      <c r="GMO143" s="181"/>
      <c r="GMP143" s="181"/>
      <c r="GMQ143" s="181"/>
      <c r="GMR143" s="181"/>
      <c r="GMS143" s="181"/>
      <c r="GMT143" s="181"/>
      <c r="GMU143" s="181"/>
      <c r="GMV143" s="181"/>
      <c r="GMW143" s="181"/>
      <c r="GMX143" s="181"/>
      <c r="GMY143" s="181"/>
      <c r="GMZ143" s="181"/>
      <c r="GNA143" s="181"/>
      <c r="GNB143" s="181"/>
      <c r="GNC143" s="181"/>
      <c r="GND143" s="181"/>
      <c r="GNE143" s="181"/>
      <c r="GNF143" s="181"/>
      <c r="GNG143" s="181"/>
      <c r="GNH143" s="181"/>
      <c r="GNI143" s="181"/>
      <c r="GNJ143" s="181"/>
      <c r="GNK143" s="181"/>
      <c r="GNL143" s="181"/>
      <c r="GNM143" s="181"/>
      <c r="GNN143" s="181"/>
      <c r="GNO143" s="181"/>
      <c r="GNP143" s="181"/>
      <c r="GNQ143" s="181"/>
      <c r="GNR143" s="181"/>
      <c r="GNS143" s="181"/>
      <c r="GNT143" s="181"/>
      <c r="GNU143" s="181"/>
      <c r="GNV143" s="181"/>
      <c r="GNW143" s="181"/>
      <c r="GNX143" s="181"/>
      <c r="GNY143" s="181"/>
      <c r="GNZ143" s="181"/>
      <c r="GOA143" s="181"/>
      <c r="GOB143" s="181"/>
      <c r="GOC143" s="181"/>
      <c r="GOD143" s="181"/>
      <c r="GOE143" s="181"/>
      <c r="GOF143" s="181"/>
      <c r="GOG143" s="181"/>
      <c r="GOH143" s="181"/>
      <c r="GOI143" s="181"/>
      <c r="GOJ143" s="181"/>
      <c r="GOK143" s="181"/>
      <c r="GOL143" s="181"/>
      <c r="GOM143" s="181"/>
      <c r="GON143" s="181"/>
      <c r="GOO143" s="181"/>
      <c r="GOP143" s="181"/>
      <c r="GOQ143" s="181"/>
      <c r="GOR143" s="181"/>
      <c r="GOS143" s="181"/>
      <c r="GOT143" s="181"/>
      <c r="GOU143" s="181"/>
      <c r="GOV143" s="181"/>
      <c r="GOW143" s="181"/>
      <c r="GOX143" s="181"/>
      <c r="GOY143" s="181"/>
      <c r="GOZ143" s="181"/>
      <c r="GPA143" s="181"/>
      <c r="GPB143" s="181"/>
      <c r="GPC143" s="181"/>
      <c r="GPD143" s="181"/>
      <c r="GPE143" s="181"/>
      <c r="GPF143" s="181"/>
      <c r="GPG143" s="181"/>
      <c r="GPH143" s="181"/>
      <c r="GPI143" s="181"/>
      <c r="GPJ143" s="181"/>
      <c r="GPK143" s="181"/>
      <c r="GPL143" s="181"/>
      <c r="GPM143" s="181"/>
      <c r="GPN143" s="181"/>
      <c r="GPO143" s="181"/>
      <c r="GPP143" s="181"/>
      <c r="GPQ143" s="181"/>
      <c r="GPR143" s="181"/>
      <c r="GPS143" s="181"/>
      <c r="GPT143" s="181"/>
      <c r="GPU143" s="181"/>
      <c r="GPV143" s="181"/>
      <c r="GPW143" s="181"/>
      <c r="GPX143" s="181"/>
      <c r="GPY143" s="181"/>
      <c r="GPZ143" s="181"/>
      <c r="GQA143" s="181"/>
      <c r="GQB143" s="181"/>
      <c r="GQC143" s="181"/>
      <c r="GQD143" s="181"/>
      <c r="GQE143" s="181"/>
      <c r="GQF143" s="181"/>
      <c r="GQG143" s="181"/>
      <c r="GQH143" s="181"/>
      <c r="GQI143" s="181"/>
      <c r="GQJ143" s="181"/>
      <c r="GQK143" s="181"/>
      <c r="GQL143" s="181"/>
      <c r="GQM143" s="181"/>
      <c r="GQN143" s="181"/>
      <c r="GQO143" s="181"/>
      <c r="GQP143" s="181"/>
      <c r="GQQ143" s="181"/>
      <c r="GQR143" s="181"/>
      <c r="GQS143" s="181"/>
      <c r="GQT143" s="181"/>
      <c r="GQU143" s="181"/>
      <c r="GQV143" s="181"/>
      <c r="GQW143" s="181"/>
      <c r="GQX143" s="181"/>
      <c r="GQY143" s="181"/>
      <c r="GQZ143" s="181"/>
      <c r="GRA143" s="181"/>
      <c r="GRB143" s="181"/>
      <c r="GRC143" s="181"/>
      <c r="GRD143" s="181"/>
      <c r="GRE143" s="181"/>
      <c r="GRF143" s="181"/>
      <c r="GRG143" s="181"/>
      <c r="GRH143" s="181"/>
      <c r="GRI143" s="181"/>
      <c r="GRJ143" s="181"/>
      <c r="GRK143" s="181"/>
      <c r="GRL143" s="181"/>
      <c r="GRM143" s="181"/>
      <c r="GRN143" s="181"/>
      <c r="GRO143" s="181"/>
      <c r="GRP143" s="181"/>
      <c r="GRQ143" s="181"/>
      <c r="GRR143" s="181"/>
      <c r="GRS143" s="181"/>
      <c r="GRT143" s="181"/>
      <c r="GRU143" s="181"/>
      <c r="GRV143" s="181"/>
      <c r="GRW143" s="181"/>
      <c r="GRX143" s="181"/>
      <c r="GRY143" s="181"/>
      <c r="GRZ143" s="181"/>
      <c r="GSA143" s="181"/>
      <c r="GSB143" s="181"/>
      <c r="GSC143" s="181"/>
      <c r="GSD143" s="181"/>
      <c r="GSE143" s="181"/>
      <c r="GSF143" s="181"/>
      <c r="GSG143" s="181"/>
      <c r="GSH143" s="181"/>
      <c r="GSI143" s="181"/>
      <c r="GSJ143" s="181"/>
      <c r="GSK143" s="181"/>
      <c r="GSL143" s="181"/>
      <c r="GSM143" s="181"/>
      <c r="GSN143" s="181"/>
      <c r="GSO143" s="181"/>
      <c r="GSP143" s="181"/>
      <c r="GSQ143" s="181"/>
      <c r="GSR143" s="181"/>
      <c r="GSS143" s="181"/>
      <c r="GST143" s="181"/>
      <c r="GSU143" s="181"/>
      <c r="GSV143" s="181"/>
      <c r="GSW143" s="181"/>
      <c r="GSX143" s="181"/>
      <c r="GSY143" s="181"/>
      <c r="GSZ143" s="181"/>
      <c r="GTA143" s="181"/>
      <c r="GTB143" s="181"/>
      <c r="GTC143" s="181"/>
      <c r="GTD143" s="181"/>
      <c r="GTE143" s="181"/>
      <c r="GTF143" s="181"/>
      <c r="GTG143" s="181"/>
      <c r="GTH143" s="181"/>
      <c r="GTI143" s="181"/>
      <c r="GTJ143" s="181"/>
      <c r="GTK143" s="181"/>
      <c r="GTL143" s="181"/>
      <c r="GTM143" s="181"/>
      <c r="GTN143" s="181"/>
      <c r="GTO143" s="181"/>
      <c r="GTP143" s="181"/>
      <c r="GTQ143" s="181"/>
      <c r="GTR143" s="181"/>
      <c r="GTS143" s="181"/>
      <c r="GTT143" s="181"/>
      <c r="GTU143" s="181"/>
      <c r="GTV143" s="181"/>
      <c r="GTW143" s="181"/>
      <c r="GTX143" s="181"/>
      <c r="GTY143" s="181"/>
      <c r="GTZ143" s="181"/>
      <c r="GUA143" s="181"/>
      <c r="GUB143" s="181"/>
      <c r="GUC143" s="181"/>
      <c r="GUD143" s="181"/>
      <c r="GUE143" s="181"/>
      <c r="GUF143" s="181"/>
      <c r="GUG143" s="181"/>
      <c r="GUH143" s="181"/>
      <c r="GUI143" s="181"/>
      <c r="GUJ143" s="181"/>
      <c r="GUK143" s="181"/>
      <c r="GUL143" s="181"/>
      <c r="GUM143" s="181"/>
      <c r="GUN143" s="181"/>
      <c r="GUO143" s="181"/>
      <c r="GUP143" s="181"/>
      <c r="GUQ143" s="181"/>
      <c r="GUR143" s="181"/>
      <c r="GUS143" s="181"/>
      <c r="GUT143" s="181"/>
      <c r="GUU143" s="181"/>
      <c r="GUV143" s="181"/>
      <c r="GUW143" s="181"/>
      <c r="GUX143" s="181"/>
      <c r="GUY143" s="181"/>
      <c r="GUZ143" s="181"/>
      <c r="GVA143" s="181"/>
      <c r="GVB143" s="181"/>
      <c r="GVC143" s="181"/>
      <c r="GVD143" s="181"/>
      <c r="GVE143" s="181"/>
      <c r="GVF143" s="181"/>
      <c r="GVG143" s="181"/>
      <c r="GVH143" s="181"/>
      <c r="GVI143" s="181"/>
      <c r="GVJ143" s="181"/>
      <c r="GVK143" s="181"/>
      <c r="GVL143" s="181"/>
      <c r="GVM143" s="181"/>
      <c r="GVN143" s="181"/>
      <c r="GVO143" s="181"/>
      <c r="GVP143" s="181"/>
      <c r="GVQ143" s="181"/>
      <c r="GVR143" s="181"/>
      <c r="GVS143" s="181"/>
      <c r="GVT143" s="181"/>
      <c r="GVU143" s="181"/>
      <c r="GVV143" s="181"/>
      <c r="GVW143" s="181"/>
      <c r="GVX143" s="181"/>
      <c r="GVY143" s="181"/>
      <c r="GVZ143" s="181"/>
      <c r="GWA143" s="181"/>
      <c r="GWB143" s="181"/>
      <c r="GWC143" s="181"/>
      <c r="GWD143" s="181"/>
      <c r="GWE143" s="181"/>
      <c r="GWF143" s="181"/>
      <c r="GWG143" s="181"/>
      <c r="GWH143" s="181"/>
      <c r="GWI143" s="181"/>
      <c r="GWJ143" s="181"/>
      <c r="GWK143" s="181"/>
      <c r="GWL143" s="181"/>
      <c r="GWM143" s="181"/>
      <c r="GWN143" s="181"/>
      <c r="GWO143" s="181"/>
      <c r="GWP143" s="181"/>
      <c r="GWQ143" s="181"/>
      <c r="GWR143" s="181"/>
      <c r="GWS143" s="181"/>
      <c r="GWT143" s="181"/>
      <c r="GWU143" s="181"/>
      <c r="GWV143" s="181"/>
      <c r="GWW143" s="181"/>
      <c r="GWX143" s="181"/>
      <c r="GWY143" s="181"/>
      <c r="GWZ143" s="181"/>
      <c r="GXA143" s="181"/>
      <c r="GXB143" s="181"/>
      <c r="GXC143" s="181"/>
      <c r="GXD143" s="181"/>
      <c r="GXE143" s="181"/>
      <c r="GXF143" s="181"/>
      <c r="GXG143" s="181"/>
      <c r="GXH143" s="181"/>
      <c r="GXI143" s="181"/>
      <c r="GXJ143" s="181"/>
      <c r="GXK143" s="181"/>
      <c r="GXL143" s="181"/>
      <c r="GXM143" s="181"/>
      <c r="GXN143" s="181"/>
      <c r="GXO143" s="181"/>
      <c r="GXP143" s="181"/>
      <c r="GXQ143" s="181"/>
      <c r="GXR143" s="181"/>
      <c r="GXS143" s="181"/>
      <c r="GXT143" s="181"/>
      <c r="GXU143" s="181"/>
      <c r="GXV143" s="181"/>
      <c r="GXW143" s="181"/>
      <c r="GXX143" s="181"/>
      <c r="GXY143" s="181"/>
      <c r="GXZ143" s="181"/>
      <c r="GYA143" s="181"/>
      <c r="GYB143" s="181"/>
      <c r="GYC143" s="181"/>
      <c r="GYD143" s="181"/>
      <c r="GYE143" s="181"/>
      <c r="GYF143" s="181"/>
      <c r="GYG143" s="181"/>
      <c r="GYH143" s="181"/>
      <c r="GYI143" s="181"/>
      <c r="GYJ143" s="181"/>
      <c r="GYK143" s="181"/>
      <c r="GYL143" s="181"/>
      <c r="GYM143" s="181"/>
      <c r="GYN143" s="181"/>
      <c r="GYO143" s="181"/>
      <c r="GYP143" s="181"/>
      <c r="GYQ143" s="181"/>
      <c r="GYR143" s="181"/>
      <c r="GYS143" s="181"/>
      <c r="GYT143" s="181"/>
      <c r="GYU143" s="181"/>
      <c r="GYV143" s="181"/>
      <c r="GYW143" s="181"/>
      <c r="GYX143" s="181"/>
      <c r="GYY143" s="181"/>
      <c r="GYZ143" s="181"/>
      <c r="GZA143" s="181"/>
      <c r="GZB143" s="181"/>
      <c r="GZC143" s="181"/>
      <c r="GZD143" s="181"/>
      <c r="GZE143" s="181"/>
      <c r="GZF143" s="181"/>
      <c r="GZG143" s="181"/>
      <c r="GZH143" s="181"/>
      <c r="GZI143" s="181"/>
      <c r="GZJ143" s="181"/>
      <c r="GZK143" s="181"/>
      <c r="GZL143" s="181"/>
      <c r="GZM143" s="181"/>
      <c r="GZN143" s="181"/>
      <c r="GZO143" s="181"/>
      <c r="GZP143" s="181"/>
      <c r="GZQ143" s="181"/>
      <c r="GZR143" s="181"/>
      <c r="GZS143" s="181"/>
      <c r="GZT143" s="181"/>
      <c r="GZU143" s="181"/>
      <c r="GZV143" s="181"/>
      <c r="GZW143" s="181"/>
      <c r="GZX143" s="181"/>
      <c r="GZY143" s="181"/>
      <c r="GZZ143" s="181"/>
      <c r="HAA143" s="181"/>
      <c r="HAB143" s="181"/>
      <c r="HAC143" s="181"/>
      <c r="HAD143" s="181"/>
      <c r="HAE143" s="181"/>
      <c r="HAF143" s="181"/>
      <c r="HAG143" s="181"/>
      <c r="HAH143" s="181"/>
      <c r="HAI143" s="181"/>
      <c r="HAJ143" s="181"/>
      <c r="HAK143" s="181"/>
      <c r="HAL143" s="181"/>
      <c r="HAM143" s="181"/>
      <c r="HAN143" s="181"/>
      <c r="HAO143" s="181"/>
      <c r="HAP143" s="181"/>
      <c r="HAQ143" s="181"/>
      <c r="HAR143" s="181"/>
      <c r="HAS143" s="181"/>
      <c r="HAT143" s="181"/>
      <c r="HAU143" s="181"/>
      <c r="HAV143" s="181"/>
      <c r="HAW143" s="181"/>
      <c r="HAX143" s="181"/>
      <c r="HAY143" s="181"/>
      <c r="HAZ143" s="181"/>
      <c r="HBA143" s="181"/>
      <c r="HBB143" s="181"/>
      <c r="HBC143" s="181"/>
      <c r="HBD143" s="181"/>
      <c r="HBE143" s="181"/>
      <c r="HBF143" s="181"/>
      <c r="HBG143" s="181"/>
      <c r="HBH143" s="181"/>
      <c r="HBI143" s="181"/>
      <c r="HBJ143" s="181"/>
      <c r="HBK143" s="181"/>
      <c r="HBL143" s="181"/>
      <c r="HBM143" s="181"/>
      <c r="HBN143" s="181"/>
      <c r="HBO143" s="181"/>
      <c r="HBP143" s="181"/>
      <c r="HBQ143" s="181"/>
      <c r="HBR143" s="181"/>
      <c r="HBS143" s="181"/>
      <c r="HBT143" s="181"/>
      <c r="HBU143" s="181"/>
      <c r="HBV143" s="181"/>
      <c r="HBW143" s="181"/>
      <c r="HBX143" s="181"/>
      <c r="HBY143" s="181"/>
      <c r="HBZ143" s="181"/>
      <c r="HCA143" s="181"/>
      <c r="HCB143" s="181"/>
      <c r="HCC143" s="181"/>
      <c r="HCD143" s="181"/>
      <c r="HCE143" s="181"/>
      <c r="HCF143" s="181"/>
      <c r="HCG143" s="181"/>
      <c r="HCH143" s="181"/>
      <c r="HCI143" s="181"/>
      <c r="HCJ143" s="181"/>
      <c r="HCK143" s="181"/>
      <c r="HCL143" s="181"/>
      <c r="HCM143" s="181"/>
      <c r="HCN143" s="181"/>
      <c r="HCO143" s="181"/>
      <c r="HCP143" s="181"/>
      <c r="HCQ143" s="181"/>
      <c r="HCR143" s="181"/>
      <c r="HCS143" s="181"/>
      <c r="HCT143" s="181"/>
      <c r="HCU143" s="181"/>
      <c r="HCV143" s="181"/>
      <c r="HCW143" s="181"/>
      <c r="HCX143" s="181"/>
      <c r="HCY143" s="181"/>
      <c r="HCZ143" s="181"/>
      <c r="HDA143" s="181"/>
      <c r="HDB143" s="181"/>
      <c r="HDC143" s="181"/>
      <c r="HDD143" s="181"/>
      <c r="HDE143" s="181"/>
      <c r="HDF143" s="181"/>
      <c r="HDG143" s="181"/>
      <c r="HDH143" s="181"/>
      <c r="HDI143" s="181"/>
      <c r="HDJ143" s="181"/>
      <c r="HDK143" s="181"/>
      <c r="HDL143" s="181"/>
      <c r="HDM143" s="181"/>
      <c r="HDN143" s="181"/>
      <c r="HDO143" s="181"/>
      <c r="HDP143" s="181"/>
      <c r="HDQ143" s="181"/>
      <c r="HDR143" s="181"/>
      <c r="HDS143" s="181"/>
      <c r="HDT143" s="181"/>
      <c r="HDU143" s="181"/>
      <c r="HDV143" s="181"/>
      <c r="HDW143" s="181"/>
      <c r="HDX143" s="181"/>
      <c r="HDY143" s="181"/>
      <c r="HDZ143" s="181"/>
      <c r="HEA143" s="181"/>
      <c r="HEB143" s="181"/>
      <c r="HEC143" s="181"/>
      <c r="HED143" s="181"/>
      <c r="HEE143" s="181"/>
      <c r="HEF143" s="181"/>
      <c r="HEG143" s="181"/>
      <c r="HEH143" s="181"/>
      <c r="HEI143" s="181"/>
      <c r="HEJ143" s="181"/>
      <c r="HEK143" s="181"/>
      <c r="HEL143" s="181"/>
      <c r="HEM143" s="181"/>
      <c r="HEN143" s="181"/>
      <c r="HEO143" s="181"/>
      <c r="HEP143" s="181"/>
      <c r="HEQ143" s="181"/>
      <c r="HER143" s="181"/>
      <c r="HES143" s="181"/>
      <c r="HET143" s="181"/>
      <c r="HEU143" s="181"/>
      <c r="HEV143" s="181"/>
      <c r="HEW143" s="181"/>
      <c r="HEX143" s="181"/>
      <c r="HEY143" s="181"/>
      <c r="HEZ143" s="181"/>
      <c r="HFA143" s="181"/>
      <c r="HFB143" s="181"/>
      <c r="HFC143" s="181"/>
      <c r="HFD143" s="181"/>
      <c r="HFE143" s="181"/>
      <c r="HFF143" s="181"/>
      <c r="HFG143" s="181"/>
      <c r="HFH143" s="181"/>
      <c r="HFI143" s="181"/>
      <c r="HFJ143" s="181"/>
      <c r="HFK143" s="181"/>
      <c r="HFL143" s="181"/>
      <c r="HFM143" s="181"/>
      <c r="HFN143" s="181"/>
      <c r="HFO143" s="181"/>
      <c r="HFP143" s="181"/>
      <c r="HFQ143" s="181"/>
      <c r="HFR143" s="181"/>
      <c r="HFS143" s="181"/>
      <c r="HFT143" s="181"/>
      <c r="HFU143" s="181"/>
      <c r="HFV143" s="181"/>
      <c r="HFW143" s="181"/>
      <c r="HFX143" s="181"/>
      <c r="HFY143" s="181"/>
      <c r="HFZ143" s="181"/>
      <c r="HGA143" s="181"/>
      <c r="HGB143" s="181"/>
      <c r="HGC143" s="181"/>
      <c r="HGD143" s="181"/>
      <c r="HGE143" s="181"/>
      <c r="HGF143" s="181"/>
      <c r="HGG143" s="181"/>
      <c r="HGH143" s="181"/>
      <c r="HGI143" s="181"/>
      <c r="HGJ143" s="181"/>
      <c r="HGK143" s="181"/>
      <c r="HGL143" s="181"/>
      <c r="HGM143" s="181"/>
      <c r="HGN143" s="181"/>
      <c r="HGO143" s="181"/>
      <c r="HGP143" s="181"/>
      <c r="HGQ143" s="181"/>
      <c r="HGR143" s="181"/>
      <c r="HGS143" s="181"/>
      <c r="HGT143" s="181"/>
      <c r="HGU143" s="181"/>
      <c r="HGV143" s="181"/>
      <c r="HGW143" s="181"/>
      <c r="HGX143" s="181"/>
      <c r="HGY143" s="181"/>
      <c r="HGZ143" s="181"/>
      <c r="HHA143" s="181"/>
      <c r="HHB143" s="181"/>
      <c r="HHC143" s="181"/>
      <c r="HHD143" s="181"/>
      <c r="HHE143" s="181"/>
      <c r="HHF143" s="181"/>
      <c r="HHG143" s="181"/>
      <c r="HHH143" s="181"/>
      <c r="HHI143" s="181"/>
      <c r="HHJ143" s="181"/>
      <c r="HHK143" s="181"/>
      <c r="HHL143" s="181"/>
      <c r="HHM143" s="181"/>
      <c r="HHN143" s="181"/>
      <c r="HHO143" s="181"/>
      <c r="HHP143" s="181"/>
      <c r="HHQ143" s="181"/>
      <c r="HHR143" s="181"/>
      <c r="HHS143" s="181"/>
      <c r="HHT143" s="181"/>
      <c r="HHU143" s="181"/>
      <c r="HHV143" s="181"/>
      <c r="HHW143" s="181"/>
      <c r="HHX143" s="181"/>
      <c r="HHY143" s="181"/>
      <c r="HHZ143" s="181"/>
      <c r="HIA143" s="181"/>
      <c r="HIB143" s="181"/>
      <c r="HIC143" s="181"/>
      <c r="HID143" s="181"/>
      <c r="HIE143" s="181"/>
      <c r="HIF143" s="181"/>
      <c r="HIG143" s="181"/>
      <c r="HIH143" s="181"/>
      <c r="HII143" s="181"/>
      <c r="HIJ143" s="181"/>
      <c r="HIK143" s="181"/>
      <c r="HIL143" s="181"/>
      <c r="HIM143" s="181"/>
      <c r="HIN143" s="181"/>
      <c r="HIO143" s="181"/>
      <c r="HIP143" s="181"/>
      <c r="HIQ143" s="181"/>
      <c r="HIR143" s="181"/>
      <c r="HIS143" s="181"/>
      <c r="HIT143" s="181"/>
      <c r="HIU143" s="181"/>
      <c r="HIV143" s="181"/>
      <c r="HIW143" s="181"/>
      <c r="HIX143" s="181"/>
      <c r="HIY143" s="181"/>
      <c r="HIZ143" s="181"/>
      <c r="HJA143" s="181"/>
      <c r="HJB143" s="181"/>
      <c r="HJC143" s="181"/>
      <c r="HJD143" s="181"/>
      <c r="HJE143" s="181"/>
      <c r="HJF143" s="181"/>
      <c r="HJG143" s="181"/>
      <c r="HJH143" s="181"/>
      <c r="HJI143" s="181"/>
      <c r="HJJ143" s="181"/>
      <c r="HJK143" s="181"/>
      <c r="HJL143" s="181"/>
      <c r="HJM143" s="181"/>
      <c r="HJN143" s="181"/>
      <c r="HJO143" s="181"/>
      <c r="HJP143" s="181"/>
      <c r="HJQ143" s="181"/>
      <c r="HJR143" s="181"/>
      <c r="HJS143" s="181"/>
      <c r="HJT143" s="181"/>
      <c r="HJU143" s="181"/>
      <c r="HJV143" s="181"/>
      <c r="HJW143" s="181"/>
      <c r="HJX143" s="181"/>
      <c r="HJY143" s="181"/>
      <c r="HJZ143" s="181"/>
      <c r="HKA143" s="181"/>
      <c r="HKB143" s="181"/>
      <c r="HKC143" s="181"/>
      <c r="HKD143" s="181"/>
      <c r="HKE143" s="181"/>
      <c r="HKF143" s="181"/>
      <c r="HKG143" s="181"/>
      <c r="HKH143" s="181"/>
      <c r="HKI143" s="181"/>
      <c r="HKJ143" s="181"/>
      <c r="HKK143" s="181"/>
      <c r="HKL143" s="181"/>
      <c r="HKM143" s="181"/>
      <c r="HKN143" s="181"/>
      <c r="HKO143" s="181"/>
      <c r="HKP143" s="181"/>
      <c r="HKQ143" s="181"/>
      <c r="HKR143" s="181"/>
      <c r="HKS143" s="181"/>
      <c r="HKT143" s="181"/>
      <c r="HKU143" s="181"/>
      <c r="HKV143" s="181"/>
      <c r="HKW143" s="181"/>
      <c r="HKX143" s="181"/>
      <c r="HKY143" s="181"/>
      <c r="HKZ143" s="181"/>
      <c r="HLA143" s="181"/>
      <c r="HLB143" s="181"/>
      <c r="HLC143" s="181"/>
      <c r="HLD143" s="181"/>
      <c r="HLE143" s="181"/>
      <c r="HLF143" s="181"/>
      <c r="HLG143" s="181"/>
      <c r="HLH143" s="181"/>
      <c r="HLI143" s="181"/>
      <c r="HLJ143" s="181"/>
      <c r="HLK143" s="181"/>
      <c r="HLL143" s="181"/>
      <c r="HLM143" s="181"/>
      <c r="HLN143" s="181"/>
      <c r="HLO143" s="181"/>
      <c r="HLP143" s="181"/>
      <c r="HLQ143" s="181"/>
      <c r="HLR143" s="181"/>
      <c r="HLS143" s="181"/>
      <c r="HLT143" s="181"/>
      <c r="HLU143" s="181"/>
      <c r="HLV143" s="181"/>
      <c r="HLW143" s="181"/>
      <c r="HLX143" s="181"/>
      <c r="HLY143" s="181"/>
      <c r="HLZ143" s="181"/>
      <c r="HMA143" s="181"/>
      <c r="HMB143" s="181"/>
      <c r="HMC143" s="181"/>
      <c r="HMD143" s="181"/>
      <c r="HME143" s="181"/>
      <c r="HMF143" s="181"/>
      <c r="HMG143" s="181"/>
      <c r="HMH143" s="181"/>
      <c r="HMI143" s="181"/>
      <c r="HMJ143" s="181"/>
      <c r="HMK143" s="181"/>
      <c r="HML143" s="181"/>
      <c r="HMM143" s="181"/>
      <c r="HMN143" s="181"/>
      <c r="HMO143" s="181"/>
      <c r="HMP143" s="181"/>
      <c r="HMQ143" s="181"/>
      <c r="HMR143" s="181"/>
      <c r="HMS143" s="181"/>
      <c r="HMT143" s="181"/>
      <c r="HMU143" s="181"/>
      <c r="HMV143" s="181"/>
      <c r="HMW143" s="181"/>
      <c r="HMX143" s="181"/>
      <c r="HMY143" s="181"/>
      <c r="HMZ143" s="181"/>
      <c r="HNA143" s="181"/>
      <c r="HNB143" s="181"/>
      <c r="HNC143" s="181"/>
      <c r="HND143" s="181"/>
      <c r="HNE143" s="181"/>
      <c r="HNF143" s="181"/>
      <c r="HNG143" s="181"/>
      <c r="HNH143" s="181"/>
      <c r="HNI143" s="181"/>
      <c r="HNJ143" s="181"/>
      <c r="HNK143" s="181"/>
      <c r="HNL143" s="181"/>
      <c r="HNM143" s="181"/>
      <c r="HNN143" s="181"/>
      <c r="HNO143" s="181"/>
      <c r="HNP143" s="181"/>
      <c r="HNQ143" s="181"/>
      <c r="HNR143" s="181"/>
      <c r="HNS143" s="181"/>
      <c r="HNT143" s="181"/>
      <c r="HNU143" s="181"/>
      <c r="HNV143" s="181"/>
      <c r="HNW143" s="181"/>
      <c r="HNX143" s="181"/>
      <c r="HNY143" s="181"/>
      <c r="HNZ143" s="181"/>
      <c r="HOA143" s="181"/>
      <c r="HOB143" s="181"/>
      <c r="HOC143" s="181"/>
      <c r="HOD143" s="181"/>
      <c r="HOE143" s="181"/>
      <c r="HOF143" s="181"/>
      <c r="HOG143" s="181"/>
      <c r="HOH143" s="181"/>
      <c r="HOI143" s="181"/>
      <c r="HOJ143" s="181"/>
      <c r="HOK143" s="181"/>
      <c r="HOL143" s="181"/>
      <c r="HOM143" s="181"/>
      <c r="HON143" s="181"/>
      <c r="HOO143" s="181"/>
      <c r="HOP143" s="181"/>
      <c r="HOQ143" s="181"/>
      <c r="HOR143" s="181"/>
      <c r="HOS143" s="181"/>
      <c r="HOT143" s="181"/>
      <c r="HOU143" s="181"/>
      <c r="HOV143" s="181"/>
      <c r="HOW143" s="181"/>
      <c r="HOX143" s="181"/>
      <c r="HOY143" s="181"/>
      <c r="HOZ143" s="181"/>
      <c r="HPA143" s="181"/>
      <c r="HPB143" s="181"/>
      <c r="HPC143" s="181"/>
      <c r="HPD143" s="181"/>
      <c r="HPE143" s="181"/>
      <c r="HPF143" s="181"/>
      <c r="HPG143" s="181"/>
      <c r="HPH143" s="181"/>
      <c r="HPI143" s="181"/>
      <c r="HPJ143" s="181"/>
      <c r="HPK143" s="181"/>
      <c r="HPL143" s="181"/>
      <c r="HPM143" s="181"/>
      <c r="HPN143" s="181"/>
      <c r="HPO143" s="181"/>
      <c r="HPP143" s="181"/>
      <c r="HPQ143" s="181"/>
      <c r="HPR143" s="181"/>
      <c r="HPS143" s="181"/>
      <c r="HPT143" s="181"/>
      <c r="HPU143" s="181"/>
      <c r="HPV143" s="181"/>
      <c r="HPW143" s="181"/>
      <c r="HPX143" s="181"/>
      <c r="HPY143" s="181"/>
      <c r="HPZ143" s="181"/>
      <c r="HQA143" s="181"/>
      <c r="HQB143" s="181"/>
      <c r="HQC143" s="181"/>
      <c r="HQD143" s="181"/>
      <c r="HQE143" s="181"/>
      <c r="HQF143" s="181"/>
      <c r="HQG143" s="181"/>
      <c r="HQH143" s="181"/>
      <c r="HQI143" s="181"/>
      <c r="HQJ143" s="181"/>
      <c r="HQK143" s="181"/>
      <c r="HQL143" s="181"/>
      <c r="HQM143" s="181"/>
      <c r="HQN143" s="181"/>
      <c r="HQO143" s="181"/>
      <c r="HQP143" s="181"/>
      <c r="HQQ143" s="181"/>
      <c r="HQR143" s="181"/>
      <c r="HQS143" s="181"/>
      <c r="HQT143" s="181"/>
      <c r="HQU143" s="181"/>
      <c r="HQV143" s="181"/>
      <c r="HQW143" s="181"/>
      <c r="HQX143" s="181"/>
      <c r="HQY143" s="181"/>
      <c r="HQZ143" s="181"/>
      <c r="HRA143" s="181"/>
      <c r="HRB143" s="181"/>
      <c r="HRC143" s="181"/>
      <c r="HRD143" s="181"/>
      <c r="HRE143" s="181"/>
      <c r="HRF143" s="181"/>
      <c r="HRG143" s="181"/>
      <c r="HRH143" s="181"/>
      <c r="HRI143" s="181"/>
      <c r="HRJ143" s="181"/>
      <c r="HRK143" s="181"/>
      <c r="HRL143" s="181"/>
      <c r="HRM143" s="181"/>
      <c r="HRN143" s="181"/>
      <c r="HRO143" s="181"/>
      <c r="HRP143" s="181"/>
      <c r="HRQ143" s="181"/>
      <c r="HRR143" s="181"/>
      <c r="HRS143" s="181"/>
      <c r="HRT143" s="181"/>
      <c r="HRU143" s="181"/>
      <c r="HRV143" s="181"/>
      <c r="HRW143" s="181"/>
      <c r="HRX143" s="181"/>
      <c r="HRY143" s="181"/>
      <c r="HRZ143" s="181"/>
      <c r="HSA143" s="181"/>
      <c r="HSB143" s="181"/>
      <c r="HSC143" s="181"/>
      <c r="HSD143" s="181"/>
      <c r="HSE143" s="181"/>
      <c r="HSF143" s="181"/>
      <c r="HSG143" s="181"/>
      <c r="HSH143" s="181"/>
      <c r="HSI143" s="181"/>
      <c r="HSJ143" s="181"/>
      <c r="HSK143" s="181"/>
      <c r="HSL143" s="181"/>
      <c r="HSM143" s="181"/>
      <c r="HSN143" s="181"/>
      <c r="HSO143" s="181"/>
      <c r="HSP143" s="181"/>
      <c r="HSQ143" s="181"/>
      <c r="HSR143" s="181"/>
      <c r="HSS143" s="181"/>
      <c r="HST143" s="181"/>
      <c r="HSU143" s="181"/>
      <c r="HSV143" s="181"/>
      <c r="HSW143" s="181"/>
      <c r="HSX143" s="181"/>
      <c r="HSY143" s="181"/>
      <c r="HSZ143" s="181"/>
      <c r="HTA143" s="181"/>
      <c r="HTB143" s="181"/>
      <c r="HTC143" s="181"/>
      <c r="HTD143" s="181"/>
      <c r="HTE143" s="181"/>
      <c r="HTF143" s="181"/>
      <c r="HTG143" s="181"/>
      <c r="HTH143" s="181"/>
      <c r="HTI143" s="181"/>
      <c r="HTJ143" s="181"/>
      <c r="HTK143" s="181"/>
      <c r="HTL143" s="181"/>
      <c r="HTM143" s="181"/>
      <c r="HTN143" s="181"/>
      <c r="HTO143" s="181"/>
      <c r="HTP143" s="181"/>
      <c r="HTQ143" s="181"/>
      <c r="HTR143" s="181"/>
      <c r="HTS143" s="181"/>
      <c r="HTT143" s="181"/>
      <c r="HTU143" s="181"/>
      <c r="HTV143" s="181"/>
      <c r="HTW143" s="181"/>
      <c r="HTX143" s="181"/>
      <c r="HTY143" s="181"/>
      <c r="HTZ143" s="181"/>
      <c r="HUA143" s="181"/>
      <c r="HUB143" s="181"/>
      <c r="HUC143" s="181"/>
      <c r="HUD143" s="181"/>
      <c r="HUE143" s="181"/>
      <c r="HUF143" s="181"/>
      <c r="HUG143" s="181"/>
      <c r="HUH143" s="181"/>
      <c r="HUI143" s="181"/>
      <c r="HUJ143" s="181"/>
      <c r="HUK143" s="181"/>
      <c r="HUL143" s="181"/>
      <c r="HUM143" s="181"/>
      <c r="HUN143" s="181"/>
      <c r="HUO143" s="181"/>
      <c r="HUP143" s="181"/>
      <c r="HUQ143" s="181"/>
      <c r="HUR143" s="181"/>
      <c r="HUS143" s="181"/>
      <c r="HUT143" s="181"/>
      <c r="HUU143" s="181"/>
      <c r="HUV143" s="181"/>
      <c r="HUW143" s="181"/>
      <c r="HUX143" s="181"/>
      <c r="HUY143" s="181"/>
      <c r="HUZ143" s="181"/>
      <c r="HVA143" s="181"/>
      <c r="HVB143" s="181"/>
      <c r="HVC143" s="181"/>
      <c r="HVD143" s="181"/>
      <c r="HVE143" s="181"/>
      <c r="HVF143" s="181"/>
      <c r="HVG143" s="181"/>
      <c r="HVH143" s="181"/>
      <c r="HVI143" s="181"/>
      <c r="HVJ143" s="181"/>
      <c r="HVK143" s="181"/>
      <c r="HVL143" s="181"/>
      <c r="HVM143" s="181"/>
      <c r="HVN143" s="181"/>
      <c r="HVO143" s="181"/>
      <c r="HVP143" s="181"/>
      <c r="HVQ143" s="181"/>
      <c r="HVR143" s="181"/>
      <c r="HVS143" s="181"/>
      <c r="HVT143" s="181"/>
      <c r="HVU143" s="181"/>
      <c r="HVV143" s="181"/>
      <c r="HVW143" s="181"/>
      <c r="HVX143" s="181"/>
      <c r="HVY143" s="181"/>
      <c r="HVZ143" s="181"/>
      <c r="HWA143" s="181"/>
      <c r="HWB143" s="181"/>
      <c r="HWC143" s="181"/>
      <c r="HWD143" s="181"/>
      <c r="HWE143" s="181"/>
      <c r="HWF143" s="181"/>
      <c r="HWG143" s="181"/>
      <c r="HWH143" s="181"/>
      <c r="HWI143" s="181"/>
      <c r="HWJ143" s="181"/>
      <c r="HWK143" s="181"/>
      <c r="HWL143" s="181"/>
      <c r="HWM143" s="181"/>
      <c r="HWN143" s="181"/>
      <c r="HWO143" s="181"/>
      <c r="HWP143" s="181"/>
      <c r="HWQ143" s="181"/>
      <c r="HWR143" s="181"/>
      <c r="HWS143" s="181"/>
      <c r="HWT143" s="181"/>
      <c r="HWU143" s="181"/>
      <c r="HWV143" s="181"/>
      <c r="HWW143" s="181"/>
      <c r="HWX143" s="181"/>
      <c r="HWY143" s="181"/>
      <c r="HWZ143" s="181"/>
      <c r="HXA143" s="181"/>
      <c r="HXB143" s="181"/>
      <c r="HXC143" s="181"/>
      <c r="HXD143" s="181"/>
      <c r="HXE143" s="181"/>
      <c r="HXF143" s="181"/>
      <c r="HXG143" s="181"/>
      <c r="HXH143" s="181"/>
      <c r="HXI143" s="181"/>
      <c r="HXJ143" s="181"/>
      <c r="HXK143" s="181"/>
      <c r="HXL143" s="181"/>
      <c r="HXM143" s="181"/>
      <c r="HXN143" s="181"/>
      <c r="HXO143" s="181"/>
      <c r="HXP143" s="181"/>
      <c r="HXQ143" s="181"/>
      <c r="HXR143" s="181"/>
      <c r="HXS143" s="181"/>
      <c r="HXT143" s="181"/>
      <c r="HXU143" s="181"/>
      <c r="HXV143" s="181"/>
      <c r="HXW143" s="181"/>
      <c r="HXX143" s="181"/>
      <c r="HXY143" s="181"/>
      <c r="HXZ143" s="181"/>
      <c r="HYA143" s="181"/>
      <c r="HYB143" s="181"/>
      <c r="HYC143" s="181"/>
      <c r="HYD143" s="181"/>
      <c r="HYE143" s="181"/>
      <c r="HYF143" s="181"/>
      <c r="HYG143" s="181"/>
      <c r="HYH143" s="181"/>
      <c r="HYI143" s="181"/>
      <c r="HYJ143" s="181"/>
      <c r="HYK143" s="181"/>
      <c r="HYL143" s="181"/>
      <c r="HYM143" s="181"/>
      <c r="HYN143" s="181"/>
      <c r="HYO143" s="181"/>
      <c r="HYP143" s="181"/>
      <c r="HYQ143" s="181"/>
      <c r="HYR143" s="181"/>
      <c r="HYS143" s="181"/>
      <c r="HYT143" s="181"/>
      <c r="HYU143" s="181"/>
      <c r="HYV143" s="181"/>
      <c r="HYW143" s="181"/>
      <c r="HYX143" s="181"/>
      <c r="HYY143" s="181"/>
      <c r="HYZ143" s="181"/>
      <c r="HZA143" s="181"/>
      <c r="HZB143" s="181"/>
      <c r="HZC143" s="181"/>
      <c r="HZD143" s="181"/>
      <c r="HZE143" s="181"/>
      <c r="HZF143" s="181"/>
      <c r="HZG143" s="181"/>
      <c r="HZH143" s="181"/>
      <c r="HZI143" s="181"/>
      <c r="HZJ143" s="181"/>
      <c r="HZK143" s="181"/>
      <c r="HZL143" s="181"/>
      <c r="HZM143" s="181"/>
      <c r="HZN143" s="181"/>
      <c r="HZO143" s="181"/>
      <c r="HZP143" s="181"/>
      <c r="HZQ143" s="181"/>
      <c r="HZR143" s="181"/>
      <c r="HZS143" s="181"/>
      <c r="HZT143" s="181"/>
      <c r="HZU143" s="181"/>
      <c r="HZV143" s="181"/>
      <c r="HZW143" s="181"/>
      <c r="HZX143" s="181"/>
      <c r="HZY143" s="181"/>
      <c r="HZZ143" s="181"/>
      <c r="IAA143" s="181"/>
      <c r="IAB143" s="181"/>
      <c r="IAC143" s="181"/>
      <c r="IAD143" s="181"/>
      <c r="IAE143" s="181"/>
      <c r="IAF143" s="181"/>
      <c r="IAG143" s="181"/>
      <c r="IAH143" s="181"/>
      <c r="IAI143" s="181"/>
      <c r="IAJ143" s="181"/>
      <c r="IAK143" s="181"/>
      <c r="IAL143" s="181"/>
      <c r="IAM143" s="181"/>
      <c r="IAN143" s="181"/>
      <c r="IAO143" s="181"/>
      <c r="IAP143" s="181"/>
      <c r="IAQ143" s="181"/>
      <c r="IAR143" s="181"/>
      <c r="IAS143" s="181"/>
      <c r="IAT143" s="181"/>
      <c r="IAU143" s="181"/>
      <c r="IAV143" s="181"/>
      <c r="IAW143" s="181"/>
      <c r="IAX143" s="181"/>
      <c r="IAY143" s="181"/>
      <c r="IAZ143" s="181"/>
      <c r="IBA143" s="181"/>
      <c r="IBB143" s="181"/>
      <c r="IBC143" s="181"/>
      <c r="IBD143" s="181"/>
      <c r="IBE143" s="181"/>
      <c r="IBF143" s="181"/>
      <c r="IBG143" s="181"/>
      <c r="IBH143" s="181"/>
      <c r="IBI143" s="181"/>
      <c r="IBJ143" s="181"/>
      <c r="IBK143" s="181"/>
      <c r="IBL143" s="181"/>
      <c r="IBM143" s="181"/>
      <c r="IBN143" s="181"/>
      <c r="IBO143" s="181"/>
      <c r="IBP143" s="181"/>
      <c r="IBQ143" s="181"/>
      <c r="IBR143" s="181"/>
      <c r="IBS143" s="181"/>
      <c r="IBT143" s="181"/>
      <c r="IBU143" s="181"/>
      <c r="IBV143" s="181"/>
      <c r="IBW143" s="181"/>
      <c r="IBX143" s="181"/>
      <c r="IBY143" s="181"/>
      <c r="IBZ143" s="181"/>
      <c r="ICA143" s="181"/>
      <c r="ICB143" s="181"/>
      <c r="ICC143" s="181"/>
      <c r="ICD143" s="181"/>
      <c r="ICE143" s="181"/>
      <c r="ICF143" s="181"/>
      <c r="ICG143" s="181"/>
      <c r="ICH143" s="181"/>
      <c r="ICI143" s="181"/>
      <c r="ICJ143" s="181"/>
      <c r="ICK143" s="181"/>
      <c r="ICL143" s="181"/>
      <c r="ICM143" s="181"/>
      <c r="ICN143" s="181"/>
      <c r="ICO143" s="181"/>
      <c r="ICP143" s="181"/>
      <c r="ICQ143" s="181"/>
      <c r="ICR143" s="181"/>
      <c r="ICS143" s="181"/>
      <c r="ICT143" s="181"/>
      <c r="ICU143" s="181"/>
      <c r="ICV143" s="181"/>
      <c r="ICW143" s="181"/>
      <c r="ICX143" s="181"/>
      <c r="ICY143" s="181"/>
      <c r="ICZ143" s="181"/>
      <c r="IDA143" s="181"/>
      <c r="IDB143" s="181"/>
      <c r="IDC143" s="181"/>
      <c r="IDD143" s="181"/>
      <c r="IDE143" s="181"/>
      <c r="IDF143" s="181"/>
      <c r="IDG143" s="181"/>
      <c r="IDH143" s="181"/>
      <c r="IDI143" s="181"/>
      <c r="IDJ143" s="181"/>
      <c r="IDK143" s="181"/>
      <c r="IDL143" s="181"/>
      <c r="IDM143" s="181"/>
      <c r="IDN143" s="181"/>
      <c r="IDO143" s="181"/>
      <c r="IDP143" s="181"/>
      <c r="IDQ143" s="181"/>
      <c r="IDR143" s="181"/>
      <c r="IDS143" s="181"/>
      <c r="IDT143" s="181"/>
      <c r="IDU143" s="181"/>
      <c r="IDV143" s="181"/>
      <c r="IDW143" s="181"/>
      <c r="IDX143" s="181"/>
      <c r="IDY143" s="181"/>
      <c r="IDZ143" s="181"/>
      <c r="IEA143" s="181"/>
      <c r="IEB143" s="181"/>
      <c r="IEC143" s="181"/>
      <c r="IED143" s="181"/>
      <c r="IEE143" s="181"/>
      <c r="IEF143" s="181"/>
      <c r="IEG143" s="181"/>
      <c r="IEH143" s="181"/>
      <c r="IEI143" s="181"/>
      <c r="IEJ143" s="181"/>
      <c r="IEK143" s="181"/>
      <c r="IEL143" s="181"/>
      <c r="IEM143" s="181"/>
      <c r="IEN143" s="181"/>
      <c r="IEO143" s="181"/>
      <c r="IEP143" s="181"/>
      <c r="IEQ143" s="181"/>
      <c r="IER143" s="181"/>
      <c r="IES143" s="181"/>
      <c r="IET143" s="181"/>
      <c r="IEU143" s="181"/>
      <c r="IEV143" s="181"/>
      <c r="IEW143" s="181"/>
      <c r="IEX143" s="181"/>
      <c r="IEY143" s="181"/>
      <c r="IEZ143" s="181"/>
      <c r="IFA143" s="181"/>
      <c r="IFB143" s="181"/>
      <c r="IFC143" s="181"/>
      <c r="IFD143" s="181"/>
      <c r="IFE143" s="181"/>
      <c r="IFF143" s="181"/>
      <c r="IFG143" s="181"/>
      <c r="IFH143" s="181"/>
      <c r="IFI143" s="181"/>
      <c r="IFJ143" s="181"/>
      <c r="IFK143" s="181"/>
      <c r="IFL143" s="181"/>
      <c r="IFM143" s="181"/>
      <c r="IFN143" s="181"/>
      <c r="IFO143" s="181"/>
      <c r="IFP143" s="181"/>
      <c r="IFQ143" s="181"/>
      <c r="IFR143" s="181"/>
      <c r="IFS143" s="181"/>
      <c r="IFT143" s="181"/>
      <c r="IFU143" s="181"/>
      <c r="IFV143" s="181"/>
      <c r="IFW143" s="181"/>
      <c r="IFX143" s="181"/>
      <c r="IFY143" s="181"/>
      <c r="IFZ143" s="181"/>
      <c r="IGA143" s="181"/>
      <c r="IGB143" s="181"/>
      <c r="IGC143" s="181"/>
      <c r="IGD143" s="181"/>
      <c r="IGE143" s="181"/>
      <c r="IGF143" s="181"/>
      <c r="IGG143" s="181"/>
      <c r="IGH143" s="181"/>
      <c r="IGI143" s="181"/>
      <c r="IGJ143" s="181"/>
      <c r="IGK143" s="181"/>
      <c r="IGL143" s="181"/>
      <c r="IGM143" s="181"/>
      <c r="IGN143" s="181"/>
      <c r="IGO143" s="181"/>
      <c r="IGP143" s="181"/>
      <c r="IGQ143" s="181"/>
      <c r="IGR143" s="181"/>
      <c r="IGS143" s="181"/>
      <c r="IGT143" s="181"/>
      <c r="IGU143" s="181"/>
      <c r="IGV143" s="181"/>
      <c r="IGW143" s="181"/>
      <c r="IGX143" s="181"/>
      <c r="IGY143" s="181"/>
      <c r="IGZ143" s="181"/>
      <c r="IHA143" s="181"/>
      <c r="IHB143" s="181"/>
      <c r="IHC143" s="181"/>
      <c r="IHD143" s="181"/>
      <c r="IHE143" s="181"/>
      <c r="IHF143" s="181"/>
      <c r="IHG143" s="181"/>
      <c r="IHH143" s="181"/>
      <c r="IHI143" s="181"/>
      <c r="IHJ143" s="181"/>
      <c r="IHK143" s="181"/>
      <c r="IHL143" s="181"/>
      <c r="IHM143" s="181"/>
      <c r="IHN143" s="181"/>
      <c r="IHO143" s="181"/>
      <c r="IHP143" s="181"/>
      <c r="IHQ143" s="181"/>
      <c r="IHR143" s="181"/>
      <c r="IHS143" s="181"/>
      <c r="IHT143" s="181"/>
      <c r="IHU143" s="181"/>
      <c r="IHV143" s="181"/>
      <c r="IHW143" s="181"/>
      <c r="IHX143" s="181"/>
      <c r="IHY143" s="181"/>
      <c r="IHZ143" s="181"/>
      <c r="IIA143" s="181"/>
      <c r="IIB143" s="181"/>
      <c r="IIC143" s="181"/>
      <c r="IID143" s="181"/>
      <c r="IIE143" s="181"/>
      <c r="IIF143" s="181"/>
      <c r="IIG143" s="181"/>
      <c r="IIH143" s="181"/>
      <c r="III143" s="181"/>
      <c r="IIJ143" s="181"/>
      <c r="IIK143" s="181"/>
      <c r="IIL143" s="181"/>
      <c r="IIM143" s="181"/>
      <c r="IIN143" s="181"/>
      <c r="IIO143" s="181"/>
      <c r="IIP143" s="181"/>
      <c r="IIQ143" s="181"/>
      <c r="IIR143" s="181"/>
      <c r="IIS143" s="181"/>
      <c r="IIT143" s="181"/>
      <c r="IIU143" s="181"/>
      <c r="IIV143" s="181"/>
      <c r="IIW143" s="181"/>
      <c r="IIX143" s="181"/>
      <c r="IIY143" s="181"/>
      <c r="IIZ143" s="181"/>
      <c r="IJA143" s="181"/>
      <c r="IJB143" s="181"/>
      <c r="IJC143" s="181"/>
      <c r="IJD143" s="181"/>
      <c r="IJE143" s="181"/>
      <c r="IJF143" s="181"/>
      <c r="IJG143" s="181"/>
      <c r="IJH143" s="181"/>
      <c r="IJI143" s="181"/>
      <c r="IJJ143" s="181"/>
      <c r="IJK143" s="181"/>
      <c r="IJL143" s="181"/>
      <c r="IJM143" s="181"/>
      <c r="IJN143" s="181"/>
      <c r="IJO143" s="181"/>
      <c r="IJP143" s="181"/>
      <c r="IJQ143" s="181"/>
      <c r="IJR143" s="181"/>
      <c r="IJS143" s="181"/>
      <c r="IJT143" s="181"/>
      <c r="IJU143" s="181"/>
      <c r="IJV143" s="181"/>
      <c r="IJW143" s="181"/>
      <c r="IJX143" s="181"/>
      <c r="IJY143" s="181"/>
      <c r="IJZ143" s="181"/>
      <c r="IKA143" s="181"/>
      <c r="IKB143" s="181"/>
      <c r="IKC143" s="181"/>
      <c r="IKD143" s="181"/>
      <c r="IKE143" s="181"/>
      <c r="IKF143" s="181"/>
      <c r="IKG143" s="181"/>
      <c r="IKH143" s="181"/>
      <c r="IKI143" s="181"/>
      <c r="IKJ143" s="181"/>
      <c r="IKK143" s="181"/>
      <c r="IKL143" s="181"/>
      <c r="IKM143" s="181"/>
      <c r="IKN143" s="181"/>
      <c r="IKO143" s="181"/>
      <c r="IKP143" s="181"/>
      <c r="IKQ143" s="181"/>
      <c r="IKR143" s="181"/>
      <c r="IKS143" s="181"/>
      <c r="IKT143" s="181"/>
      <c r="IKU143" s="181"/>
      <c r="IKV143" s="181"/>
      <c r="IKW143" s="181"/>
      <c r="IKX143" s="181"/>
      <c r="IKY143" s="181"/>
      <c r="IKZ143" s="181"/>
      <c r="ILA143" s="181"/>
      <c r="ILB143" s="181"/>
      <c r="ILC143" s="181"/>
      <c r="ILD143" s="181"/>
      <c r="ILE143" s="181"/>
      <c r="ILF143" s="181"/>
      <c r="ILG143" s="181"/>
      <c r="ILH143" s="181"/>
      <c r="ILI143" s="181"/>
      <c r="ILJ143" s="181"/>
      <c r="ILK143" s="181"/>
      <c r="ILL143" s="181"/>
      <c r="ILM143" s="181"/>
      <c r="ILN143" s="181"/>
      <c r="ILO143" s="181"/>
      <c r="ILP143" s="181"/>
      <c r="ILQ143" s="181"/>
      <c r="ILR143" s="181"/>
      <c r="ILS143" s="181"/>
      <c r="ILT143" s="181"/>
      <c r="ILU143" s="181"/>
      <c r="ILV143" s="181"/>
      <c r="ILW143" s="181"/>
      <c r="ILX143" s="181"/>
      <c r="ILY143" s="181"/>
      <c r="ILZ143" s="181"/>
      <c r="IMA143" s="181"/>
      <c r="IMB143" s="181"/>
      <c r="IMC143" s="181"/>
      <c r="IMD143" s="181"/>
      <c r="IME143" s="181"/>
      <c r="IMF143" s="181"/>
      <c r="IMG143" s="181"/>
      <c r="IMH143" s="181"/>
      <c r="IMI143" s="181"/>
      <c r="IMJ143" s="181"/>
      <c r="IMK143" s="181"/>
      <c r="IML143" s="181"/>
      <c r="IMM143" s="181"/>
      <c r="IMN143" s="181"/>
      <c r="IMO143" s="181"/>
      <c r="IMP143" s="181"/>
      <c r="IMQ143" s="181"/>
      <c r="IMR143" s="181"/>
      <c r="IMS143" s="181"/>
      <c r="IMT143" s="181"/>
      <c r="IMU143" s="181"/>
      <c r="IMV143" s="181"/>
      <c r="IMW143" s="181"/>
      <c r="IMX143" s="181"/>
      <c r="IMY143" s="181"/>
      <c r="IMZ143" s="181"/>
      <c r="INA143" s="181"/>
      <c r="INB143" s="181"/>
      <c r="INC143" s="181"/>
      <c r="IND143" s="181"/>
      <c r="INE143" s="181"/>
      <c r="INF143" s="181"/>
      <c r="ING143" s="181"/>
      <c r="INH143" s="181"/>
      <c r="INI143" s="181"/>
      <c r="INJ143" s="181"/>
      <c r="INK143" s="181"/>
      <c r="INL143" s="181"/>
      <c r="INM143" s="181"/>
      <c r="INN143" s="181"/>
      <c r="INO143" s="181"/>
      <c r="INP143" s="181"/>
      <c r="INQ143" s="181"/>
      <c r="INR143" s="181"/>
      <c r="INS143" s="181"/>
      <c r="INT143" s="181"/>
      <c r="INU143" s="181"/>
      <c r="INV143" s="181"/>
      <c r="INW143" s="181"/>
      <c r="INX143" s="181"/>
      <c r="INY143" s="181"/>
      <c r="INZ143" s="181"/>
      <c r="IOA143" s="181"/>
      <c r="IOB143" s="181"/>
      <c r="IOC143" s="181"/>
      <c r="IOD143" s="181"/>
      <c r="IOE143" s="181"/>
      <c r="IOF143" s="181"/>
      <c r="IOG143" s="181"/>
      <c r="IOH143" s="181"/>
      <c r="IOI143" s="181"/>
      <c r="IOJ143" s="181"/>
      <c r="IOK143" s="181"/>
      <c r="IOL143" s="181"/>
      <c r="IOM143" s="181"/>
      <c r="ION143" s="181"/>
      <c r="IOO143" s="181"/>
      <c r="IOP143" s="181"/>
      <c r="IOQ143" s="181"/>
      <c r="IOR143" s="181"/>
      <c r="IOS143" s="181"/>
      <c r="IOT143" s="181"/>
      <c r="IOU143" s="181"/>
      <c r="IOV143" s="181"/>
      <c r="IOW143" s="181"/>
      <c r="IOX143" s="181"/>
      <c r="IOY143" s="181"/>
      <c r="IOZ143" s="181"/>
      <c r="IPA143" s="181"/>
      <c r="IPB143" s="181"/>
      <c r="IPC143" s="181"/>
      <c r="IPD143" s="181"/>
      <c r="IPE143" s="181"/>
      <c r="IPF143" s="181"/>
      <c r="IPG143" s="181"/>
      <c r="IPH143" s="181"/>
      <c r="IPI143" s="181"/>
      <c r="IPJ143" s="181"/>
      <c r="IPK143" s="181"/>
      <c r="IPL143" s="181"/>
      <c r="IPM143" s="181"/>
      <c r="IPN143" s="181"/>
      <c r="IPO143" s="181"/>
      <c r="IPP143" s="181"/>
      <c r="IPQ143" s="181"/>
      <c r="IPR143" s="181"/>
      <c r="IPS143" s="181"/>
      <c r="IPT143" s="181"/>
      <c r="IPU143" s="181"/>
      <c r="IPV143" s="181"/>
      <c r="IPW143" s="181"/>
      <c r="IPX143" s="181"/>
      <c r="IPY143" s="181"/>
      <c r="IPZ143" s="181"/>
      <c r="IQA143" s="181"/>
      <c r="IQB143" s="181"/>
      <c r="IQC143" s="181"/>
      <c r="IQD143" s="181"/>
      <c r="IQE143" s="181"/>
      <c r="IQF143" s="181"/>
      <c r="IQG143" s="181"/>
      <c r="IQH143" s="181"/>
      <c r="IQI143" s="181"/>
      <c r="IQJ143" s="181"/>
      <c r="IQK143" s="181"/>
      <c r="IQL143" s="181"/>
      <c r="IQM143" s="181"/>
      <c r="IQN143" s="181"/>
      <c r="IQO143" s="181"/>
      <c r="IQP143" s="181"/>
      <c r="IQQ143" s="181"/>
      <c r="IQR143" s="181"/>
      <c r="IQS143" s="181"/>
      <c r="IQT143" s="181"/>
      <c r="IQU143" s="181"/>
      <c r="IQV143" s="181"/>
      <c r="IQW143" s="181"/>
      <c r="IQX143" s="181"/>
      <c r="IQY143" s="181"/>
      <c r="IQZ143" s="181"/>
      <c r="IRA143" s="181"/>
      <c r="IRB143" s="181"/>
      <c r="IRC143" s="181"/>
      <c r="IRD143" s="181"/>
      <c r="IRE143" s="181"/>
      <c r="IRF143" s="181"/>
      <c r="IRG143" s="181"/>
      <c r="IRH143" s="181"/>
      <c r="IRI143" s="181"/>
      <c r="IRJ143" s="181"/>
      <c r="IRK143" s="181"/>
      <c r="IRL143" s="181"/>
      <c r="IRM143" s="181"/>
      <c r="IRN143" s="181"/>
      <c r="IRO143" s="181"/>
      <c r="IRP143" s="181"/>
      <c r="IRQ143" s="181"/>
      <c r="IRR143" s="181"/>
      <c r="IRS143" s="181"/>
      <c r="IRT143" s="181"/>
      <c r="IRU143" s="181"/>
      <c r="IRV143" s="181"/>
      <c r="IRW143" s="181"/>
      <c r="IRX143" s="181"/>
      <c r="IRY143" s="181"/>
      <c r="IRZ143" s="181"/>
      <c r="ISA143" s="181"/>
      <c r="ISB143" s="181"/>
      <c r="ISC143" s="181"/>
      <c r="ISD143" s="181"/>
      <c r="ISE143" s="181"/>
      <c r="ISF143" s="181"/>
      <c r="ISG143" s="181"/>
      <c r="ISH143" s="181"/>
      <c r="ISI143" s="181"/>
      <c r="ISJ143" s="181"/>
      <c r="ISK143" s="181"/>
      <c r="ISL143" s="181"/>
      <c r="ISM143" s="181"/>
      <c r="ISN143" s="181"/>
      <c r="ISO143" s="181"/>
      <c r="ISP143" s="181"/>
      <c r="ISQ143" s="181"/>
      <c r="ISR143" s="181"/>
      <c r="ISS143" s="181"/>
      <c r="IST143" s="181"/>
      <c r="ISU143" s="181"/>
      <c r="ISV143" s="181"/>
      <c r="ISW143" s="181"/>
      <c r="ISX143" s="181"/>
      <c r="ISY143" s="181"/>
      <c r="ISZ143" s="181"/>
      <c r="ITA143" s="181"/>
      <c r="ITB143" s="181"/>
      <c r="ITC143" s="181"/>
      <c r="ITD143" s="181"/>
      <c r="ITE143" s="181"/>
      <c r="ITF143" s="181"/>
      <c r="ITG143" s="181"/>
      <c r="ITH143" s="181"/>
      <c r="ITI143" s="181"/>
      <c r="ITJ143" s="181"/>
      <c r="ITK143" s="181"/>
      <c r="ITL143" s="181"/>
      <c r="ITM143" s="181"/>
      <c r="ITN143" s="181"/>
      <c r="ITO143" s="181"/>
      <c r="ITP143" s="181"/>
      <c r="ITQ143" s="181"/>
      <c r="ITR143" s="181"/>
      <c r="ITS143" s="181"/>
      <c r="ITT143" s="181"/>
      <c r="ITU143" s="181"/>
      <c r="ITV143" s="181"/>
      <c r="ITW143" s="181"/>
      <c r="ITX143" s="181"/>
      <c r="ITY143" s="181"/>
      <c r="ITZ143" s="181"/>
      <c r="IUA143" s="181"/>
      <c r="IUB143" s="181"/>
      <c r="IUC143" s="181"/>
      <c r="IUD143" s="181"/>
      <c r="IUE143" s="181"/>
      <c r="IUF143" s="181"/>
      <c r="IUG143" s="181"/>
      <c r="IUH143" s="181"/>
      <c r="IUI143" s="181"/>
      <c r="IUJ143" s="181"/>
      <c r="IUK143" s="181"/>
      <c r="IUL143" s="181"/>
      <c r="IUM143" s="181"/>
      <c r="IUN143" s="181"/>
      <c r="IUO143" s="181"/>
      <c r="IUP143" s="181"/>
      <c r="IUQ143" s="181"/>
      <c r="IUR143" s="181"/>
      <c r="IUS143" s="181"/>
      <c r="IUT143" s="181"/>
      <c r="IUU143" s="181"/>
      <c r="IUV143" s="181"/>
      <c r="IUW143" s="181"/>
      <c r="IUX143" s="181"/>
      <c r="IUY143" s="181"/>
      <c r="IUZ143" s="181"/>
      <c r="IVA143" s="181"/>
      <c r="IVB143" s="181"/>
      <c r="IVC143" s="181"/>
      <c r="IVD143" s="181"/>
      <c r="IVE143" s="181"/>
      <c r="IVF143" s="181"/>
      <c r="IVG143" s="181"/>
      <c r="IVH143" s="181"/>
      <c r="IVI143" s="181"/>
      <c r="IVJ143" s="181"/>
      <c r="IVK143" s="181"/>
      <c r="IVL143" s="181"/>
      <c r="IVM143" s="181"/>
      <c r="IVN143" s="181"/>
      <c r="IVO143" s="181"/>
      <c r="IVP143" s="181"/>
      <c r="IVQ143" s="181"/>
      <c r="IVR143" s="181"/>
      <c r="IVS143" s="181"/>
      <c r="IVT143" s="181"/>
      <c r="IVU143" s="181"/>
      <c r="IVV143" s="181"/>
      <c r="IVW143" s="181"/>
      <c r="IVX143" s="181"/>
      <c r="IVY143" s="181"/>
      <c r="IVZ143" s="181"/>
      <c r="IWA143" s="181"/>
      <c r="IWB143" s="181"/>
      <c r="IWC143" s="181"/>
      <c r="IWD143" s="181"/>
      <c r="IWE143" s="181"/>
      <c r="IWF143" s="181"/>
      <c r="IWG143" s="181"/>
      <c r="IWH143" s="181"/>
      <c r="IWI143" s="181"/>
      <c r="IWJ143" s="181"/>
      <c r="IWK143" s="181"/>
      <c r="IWL143" s="181"/>
      <c r="IWM143" s="181"/>
      <c r="IWN143" s="181"/>
      <c r="IWO143" s="181"/>
      <c r="IWP143" s="181"/>
      <c r="IWQ143" s="181"/>
      <c r="IWR143" s="181"/>
      <c r="IWS143" s="181"/>
      <c r="IWT143" s="181"/>
      <c r="IWU143" s="181"/>
      <c r="IWV143" s="181"/>
      <c r="IWW143" s="181"/>
      <c r="IWX143" s="181"/>
      <c r="IWY143" s="181"/>
      <c r="IWZ143" s="181"/>
      <c r="IXA143" s="181"/>
      <c r="IXB143" s="181"/>
      <c r="IXC143" s="181"/>
      <c r="IXD143" s="181"/>
      <c r="IXE143" s="181"/>
      <c r="IXF143" s="181"/>
      <c r="IXG143" s="181"/>
      <c r="IXH143" s="181"/>
      <c r="IXI143" s="181"/>
      <c r="IXJ143" s="181"/>
      <c r="IXK143" s="181"/>
      <c r="IXL143" s="181"/>
      <c r="IXM143" s="181"/>
      <c r="IXN143" s="181"/>
      <c r="IXO143" s="181"/>
      <c r="IXP143" s="181"/>
      <c r="IXQ143" s="181"/>
      <c r="IXR143" s="181"/>
      <c r="IXS143" s="181"/>
      <c r="IXT143" s="181"/>
      <c r="IXU143" s="181"/>
      <c r="IXV143" s="181"/>
      <c r="IXW143" s="181"/>
      <c r="IXX143" s="181"/>
      <c r="IXY143" s="181"/>
      <c r="IXZ143" s="181"/>
      <c r="IYA143" s="181"/>
      <c r="IYB143" s="181"/>
      <c r="IYC143" s="181"/>
      <c r="IYD143" s="181"/>
      <c r="IYE143" s="181"/>
      <c r="IYF143" s="181"/>
      <c r="IYG143" s="181"/>
      <c r="IYH143" s="181"/>
      <c r="IYI143" s="181"/>
      <c r="IYJ143" s="181"/>
      <c r="IYK143" s="181"/>
      <c r="IYL143" s="181"/>
      <c r="IYM143" s="181"/>
      <c r="IYN143" s="181"/>
      <c r="IYO143" s="181"/>
      <c r="IYP143" s="181"/>
      <c r="IYQ143" s="181"/>
      <c r="IYR143" s="181"/>
      <c r="IYS143" s="181"/>
      <c r="IYT143" s="181"/>
      <c r="IYU143" s="181"/>
      <c r="IYV143" s="181"/>
      <c r="IYW143" s="181"/>
      <c r="IYX143" s="181"/>
      <c r="IYY143" s="181"/>
      <c r="IYZ143" s="181"/>
      <c r="IZA143" s="181"/>
      <c r="IZB143" s="181"/>
      <c r="IZC143" s="181"/>
      <c r="IZD143" s="181"/>
      <c r="IZE143" s="181"/>
      <c r="IZF143" s="181"/>
      <c r="IZG143" s="181"/>
      <c r="IZH143" s="181"/>
      <c r="IZI143" s="181"/>
      <c r="IZJ143" s="181"/>
      <c r="IZK143" s="181"/>
      <c r="IZL143" s="181"/>
      <c r="IZM143" s="181"/>
      <c r="IZN143" s="181"/>
      <c r="IZO143" s="181"/>
      <c r="IZP143" s="181"/>
      <c r="IZQ143" s="181"/>
      <c r="IZR143" s="181"/>
      <c r="IZS143" s="181"/>
      <c r="IZT143" s="181"/>
      <c r="IZU143" s="181"/>
      <c r="IZV143" s="181"/>
      <c r="IZW143" s="181"/>
      <c r="IZX143" s="181"/>
      <c r="IZY143" s="181"/>
      <c r="IZZ143" s="181"/>
      <c r="JAA143" s="181"/>
      <c r="JAB143" s="181"/>
      <c r="JAC143" s="181"/>
      <c r="JAD143" s="181"/>
      <c r="JAE143" s="181"/>
      <c r="JAF143" s="181"/>
      <c r="JAG143" s="181"/>
      <c r="JAH143" s="181"/>
      <c r="JAI143" s="181"/>
      <c r="JAJ143" s="181"/>
      <c r="JAK143" s="181"/>
      <c r="JAL143" s="181"/>
      <c r="JAM143" s="181"/>
      <c r="JAN143" s="181"/>
      <c r="JAO143" s="181"/>
      <c r="JAP143" s="181"/>
      <c r="JAQ143" s="181"/>
      <c r="JAR143" s="181"/>
      <c r="JAS143" s="181"/>
      <c r="JAT143" s="181"/>
      <c r="JAU143" s="181"/>
      <c r="JAV143" s="181"/>
      <c r="JAW143" s="181"/>
      <c r="JAX143" s="181"/>
      <c r="JAY143" s="181"/>
      <c r="JAZ143" s="181"/>
      <c r="JBA143" s="181"/>
      <c r="JBB143" s="181"/>
      <c r="JBC143" s="181"/>
      <c r="JBD143" s="181"/>
      <c r="JBE143" s="181"/>
      <c r="JBF143" s="181"/>
      <c r="JBG143" s="181"/>
      <c r="JBH143" s="181"/>
      <c r="JBI143" s="181"/>
      <c r="JBJ143" s="181"/>
      <c r="JBK143" s="181"/>
      <c r="JBL143" s="181"/>
      <c r="JBM143" s="181"/>
      <c r="JBN143" s="181"/>
      <c r="JBO143" s="181"/>
      <c r="JBP143" s="181"/>
      <c r="JBQ143" s="181"/>
      <c r="JBR143" s="181"/>
      <c r="JBS143" s="181"/>
      <c r="JBT143" s="181"/>
      <c r="JBU143" s="181"/>
      <c r="JBV143" s="181"/>
      <c r="JBW143" s="181"/>
      <c r="JBX143" s="181"/>
      <c r="JBY143" s="181"/>
      <c r="JBZ143" s="181"/>
      <c r="JCA143" s="181"/>
      <c r="JCB143" s="181"/>
      <c r="JCC143" s="181"/>
      <c r="JCD143" s="181"/>
      <c r="JCE143" s="181"/>
      <c r="JCF143" s="181"/>
      <c r="JCG143" s="181"/>
      <c r="JCH143" s="181"/>
      <c r="JCI143" s="181"/>
      <c r="JCJ143" s="181"/>
      <c r="JCK143" s="181"/>
      <c r="JCL143" s="181"/>
      <c r="JCM143" s="181"/>
      <c r="JCN143" s="181"/>
      <c r="JCO143" s="181"/>
      <c r="JCP143" s="181"/>
      <c r="JCQ143" s="181"/>
      <c r="JCR143" s="181"/>
      <c r="JCS143" s="181"/>
      <c r="JCT143" s="181"/>
      <c r="JCU143" s="181"/>
      <c r="JCV143" s="181"/>
      <c r="JCW143" s="181"/>
      <c r="JCX143" s="181"/>
      <c r="JCY143" s="181"/>
      <c r="JCZ143" s="181"/>
      <c r="JDA143" s="181"/>
      <c r="JDB143" s="181"/>
      <c r="JDC143" s="181"/>
      <c r="JDD143" s="181"/>
      <c r="JDE143" s="181"/>
      <c r="JDF143" s="181"/>
      <c r="JDG143" s="181"/>
      <c r="JDH143" s="181"/>
      <c r="JDI143" s="181"/>
      <c r="JDJ143" s="181"/>
      <c r="JDK143" s="181"/>
      <c r="JDL143" s="181"/>
      <c r="JDM143" s="181"/>
      <c r="JDN143" s="181"/>
      <c r="JDO143" s="181"/>
      <c r="JDP143" s="181"/>
      <c r="JDQ143" s="181"/>
      <c r="JDR143" s="181"/>
      <c r="JDS143" s="181"/>
      <c r="JDT143" s="181"/>
      <c r="JDU143" s="181"/>
      <c r="JDV143" s="181"/>
      <c r="JDW143" s="181"/>
      <c r="JDX143" s="181"/>
      <c r="JDY143" s="181"/>
      <c r="JDZ143" s="181"/>
      <c r="JEA143" s="181"/>
      <c r="JEB143" s="181"/>
      <c r="JEC143" s="181"/>
      <c r="JED143" s="181"/>
      <c r="JEE143" s="181"/>
      <c r="JEF143" s="181"/>
      <c r="JEG143" s="181"/>
      <c r="JEH143" s="181"/>
      <c r="JEI143" s="181"/>
      <c r="JEJ143" s="181"/>
      <c r="JEK143" s="181"/>
      <c r="JEL143" s="181"/>
      <c r="JEM143" s="181"/>
      <c r="JEN143" s="181"/>
      <c r="JEO143" s="181"/>
      <c r="JEP143" s="181"/>
      <c r="JEQ143" s="181"/>
      <c r="JER143" s="181"/>
      <c r="JES143" s="181"/>
      <c r="JET143" s="181"/>
      <c r="JEU143" s="181"/>
      <c r="JEV143" s="181"/>
      <c r="JEW143" s="181"/>
      <c r="JEX143" s="181"/>
      <c r="JEY143" s="181"/>
      <c r="JEZ143" s="181"/>
      <c r="JFA143" s="181"/>
      <c r="JFB143" s="181"/>
      <c r="JFC143" s="181"/>
      <c r="JFD143" s="181"/>
      <c r="JFE143" s="181"/>
      <c r="JFF143" s="181"/>
      <c r="JFG143" s="181"/>
      <c r="JFH143" s="181"/>
      <c r="JFI143" s="181"/>
      <c r="JFJ143" s="181"/>
      <c r="JFK143" s="181"/>
      <c r="JFL143" s="181"/>
      <c r="JFM143" s="181"/>
      <c r="JFN143" s="181"/>
      <c r="JFO143" s="181"/>
      <c r="JFP143" s="181"/>
      <c r="JFQ143" s="181"/>
      <c r="JFR143" s="181"/>
      <c r="JFS143" s="181"/>
      <c r="JFT143" s="181"/>
      <c r="JFU143" s="181"/>
      <c r="JFV143" s="181"/>
      <c r="JFW143" s="181"/>
      <c r="JFX143" s="181"/>
      <c r="JFY143" s="181"/>
      <c r="JFZ143" s="181"/>
      <c r="JGA143" s="181"/>
      <c r="JGB143" s="181"/>
      <c r="JGC143" s="181"/>
      <c r="JGD143" s="181"/>
      <c r="JGE143" s="181"/>
      <c r="JGF143" s="181"/>
      <c r="JGG143" s="181"/>
      <c r="JGH143" s="181"/>
      <c r="JGI143" s="181"/>
      <c r="JGJ143" s="181"/>
      <c r="JGK143" s="181"/>
      <c r="JGL143" s="181"/>
      <c r="JGM143" s="181"/>
      <c r="JGN143" s="181"/>
      <c r="JGO143" s="181"/>
      <c r="JGP143" s="181"/>
      <c r="JGQ143" s="181"/>
      <c r="JGR143" s="181"/>
      <c r="JGS143" s="181"/>
      <c r="JGT143" s="181"/>
      <c r="JGU143" s="181"/>
      <c r="JGV143" s="181"/>
      <c r="JGW143" s="181"/>
      <c r="JGX143" s="181"/>
      <c r="JGY143" s="181"/>
      <c r="JGZ143" s="181"/>
      <c r="JHA143" s="181"/>
      <c r="JHB143" s="181"/>
      <c r="JHC143" s="181"/>
      <c r="JHD143" s="181"/>
      <c r="JHE143" s="181"/>
      <c r="JHF143" s="181"/>
      <c r="JHG143" s="181"/>
      <c r="JHH143" s="181"/>
      <c r="JHI143" s="181"/>
      <c r="JHJ143" s="181"/>
      <c r="JHK143" s="181"/>
      <c r="JHL143" s="181"/>
      <c r="JHM143" s="181"/>
      <c r="JHN143" s="181"/>
      <c r="JHO143" s="181"/>
      <c r="JHP143" s="181"/>
      <c r="JHQ143" s="181"/>
      <c r="JHR143" s="181"/>
      <c r="JHS143" s="181"/>
      <c r="JHT143" s="181"/>
      <c r="JHU143" s="181"/>
      <c r="JHV143" s="181"/>
      <c r="JHW143" s="181"/>
      <c r="JHX143" s="181"/>
      <c r="JHY143" s="181"/>
      <c r="JHZ143" s="181"/>
      <c r="JIA143" s="181"/>
      <c r="JIB143" s="181"/>
      <c r="JIC143" s="181"/>
      <c r="JID143" s="181"/>
      <c r="JIE143" s="181"/>
      <c r="JIF143" s="181"/>
      <c r="JIG143" s="181"/>
      <c r="JIH143" s="181"/>
      <c r="JII143" s="181"/>
      <c r="JIJ143" s="181"/>
      <c r="JIK143" s="181"/>
      <c r="JIL143" s="181"/>
      <c r="JIM143" s="181"/>
      <c r="JIN143" s="181"/>
      <c r="JIO143" s="181"/>
      <c r="JIP143" s="181"/>
      <c r="JIQ143" s="181"/>
      <c r="JIR143" s="181"/>
      <c r="JIS143" s="181"/>
      <c r="JIT143" s="181"/>
      <c r="JIU143" s="181"/>
      <c r="JIV143" s="181"/>
      <c r="JIW143" s="181"/>
      <c r="JIX143" s="181"/>
      <c r="JIY143" s="181"/>
      <c r="JIZ143" s="181"/>
      <c r="JJA143" s="181"/>
      <c r="JJB143" s="181"/>
      <c r="JJC143" s="181"/>
      <c r="JJD143" s="181"/>
      <c r="JJE143" s="181"/>
      <c r="JJF143" s="181"/>
      <c r="JJG143" s="181"/>
      <c r="JJH143" s="181"/>
      <c r="JJI143" s="181"/>
      <c r="JJJ143" s="181"/>
      <c r="JJK143" s="181"/>
      <c r="JJL143" s="181"/>
      <c r="JJM143" s="181"/>
      <c r="JJN143" s="181"/>
      <c r="JJO143" s="181"/>
      <c r="JJP143" s="181"/>
      <c r="JJQ143" s="181"/>
      <c r="JJR143" s="181"/>
      <c r="JJS143" s="181"/>
      <c r="JJT143" s="181"/>
      <c r="JJU143" s="181"/>
      <c r="JJV143" s="181"/>
      <c r="JJW143" s="181"/>
      <c r="JJX143" s="181"/>
      <c r="JJY143" s="181"/>
      <c r="JJZ143" s="181"/>
      <c r="JKA143" s="181"/>
      <c r="JKB143" s="181"/>
      <c r="JKC143" s="181"/>
      <c r="JKD143" s="181"/>
      <c r="JKE143" s="181"/>
      <c r="JKF143" s="181"/>
      <c r="JKG143" s="181"/>
      <c r="JKH143" s="181"/>
      <c r="JKI143" s="181"/>
      <c r="JKJ143" s="181"/>
      <c r="JKK143" s="181"/>
      <c r="JKL143" s="181"/>
      <c r="JKM143" s="181"/>
      <c r="JKN143" s="181"/>
      <c r="JKO143" s="181"/>
      <c r="JKP143" s="181"/>
      <c r="JKQ143" s="181"/>
      <c r="JKR143" s="181"/>
      <c r="JKS143" s="181"/>
      <c r="JKT143" s="181"/>
      <c r="JKU143" s="181"/>
      <c r="JKV143" s="181"/>
      <c r="JKW143" s="181"/>
      <c r="JKX143" s="181"/>
      <c r="JKY143" s="181"/>
      <c r="JKZ143" s="181"/>
      <c r="JLA143" s="181"/>
      <c r="JLB143" s="181"/>
      <c r="JLC143" s="181"/>
      <c r="JLD143" s="181"/>
      <c r="JLE143" s="181"/>
      <c r="JLF143" s="181"/>
      <c r="JLG143" s="181"/>
      <c r="JLH143" s="181"/>
      <c r="JLI143" s="181"/>
      <c r="JLJ143" s="181"/>
      <c r="JLK143" s="181"/>
      <c r="JLL143" s="181"/>
      <c r="JLM143" s="181"/>
      <c r="JLN143" s="181"/>
      <c r="JLO143" s="181"/>
      <c r="JLP143" s="181"/>
      <c r="JLQ143" s="181"/>
      <c r="JLR143" s="181"/>
      <c r="JLS143" s="181"/>
      <c r="JLT143" s="181"/>
      <c r="JLU143" s="181"/>
      <c r="JLV143" s="181"/>
      <c r="JLW143" s="181"/>
      <c r="JLX143" s="181"/>
      <c r="JLY143" s="181"/>
      <c r="JLZ143" s="181"/>
      <c r="JMA143" s="181"/>
      <c r="JMB143" s="181"/>
      <c r="JMC143" s="181"/>
      <c r="JMD143" s="181"/>
      <c r="JME143" s="181"/>
      <c r="JMF143" s="181"/>
      <c r="JMG143" s="181"/>
      <c r="JMH143" s="181"/>
      <c r="JMI143" s="181"/>
      <c r="JMJ143" s="181"/>
      <c r="JMK143" s="181"/>
      <c r="JML143" s="181"/>
      <c r="JMM143" s="181"/>
      <c r="JMN143" s="181"/>
      <c r="JMO143" s="181"/>
      <c r="JMP143" s="181"/>
      <c r="JMQ143" s="181"/>
      <c r="JMR143" s="181"/>
      <c r="JMS143" s="181"/>
      <c r="JMT143" s="181"/>
      <c r="JMU143" s="181"/>
      <c r="JMV143" s="181"/>
      <c r="JMW143" s="181"/>
      <c r="JMX143" s="181"/>
      <c r="JMY143" s="181"/>
      <c r="JMZ143" s="181"/>
      <c r="JNA143" s="181"/>
      <c r="JNB143" s="181"/>
      <c r="JNC143" s="181"/>
      <c r="JND143" s="181"/>
      <c r="JNE143" s="181"/>
      <c r="JNF143" s="181"/>
      <c r="JNG143" s="181"/>
      <c r="JNH143" s="181"/>
      <c r="JNI143" s="181"/>
      <c r="JNJ143" s="181"/>
      <c r="JNK143" s="181"/>
      <c r="JNL143" s="181"/>
      <c r="JNM143" s="181"/>
      <c r="JNN143" s="181"/>
      <c r="JNO143" s="181"/>
      <c r="JNP143" s="181"/>
      <c r="JNQ143" s="181"/>
      <c r="JNR143" s="181"/>
      <c r="JNS143" s="181"/>
      <c r="JNT143" s="181"/>
      <c r="JNU143" s="181"/>
      <c r="JNV143" s="181"/>
      <c r="JNW143" s="181"/>
      <c r="JNX143" s="181"/>
      <c r="JNY143" s="181"/>
      <c r="JNZ143" s="181"/>
      <c r="JOA143" s="181"/>
      <c r="JOB143" s="181"/>
      <c r="JOC143" s="181"/>
      <c r="JOD143" s="181"/>
      <c r="JOE143" s="181"/>
      <c r="JOF143" s="181"/>
      <c r="JOG143" s="181"/>
      <c r="JOH143" s="181"/>
      <c r="JOI143" s="181"/>
      <c r="JOJ143" s="181"/>
      <c r="JOK143" s="181"/>
      <c r="JOL143" s="181"/>
      <c r="JOM143" s="181"/>
      <c r="JON143" s="181"/>
      <c r="JOO143" s="181"/>
      <c r="JOP143" s="181"/>
      <c r="JOQ143" s="181"/>
      <c r="JOR143" s="181"/>
      <c r="JOS143" s="181"/>
      <c r="JOT143" s="181"/>
      <c r="JOU143" s="181"/>
      <c r="JOV143" s="181"/>
      <c r="JOW143" s="181"/>
      <c r="JOX143" s="181"/>
      <c r="JOY143" s="181"/>
      <c r="JOZ143" s="181"/>
      <c r="JPA143" s="181"/>
      <c r="JPB143" s="181"/>
      <c r="JPC143" s="181"/>
      <c r="JPD143" s="181"/>
      <c r="JPE143" s="181"/>
      <c r="JPF143" s="181"/>
      <c r="JPG143" s="181"/>
      <c r="JPH143" s="181"/>
      <c r="JPI143" s="181"/>
      <c r="JPJ143" s="181"/>
      <c r="JPK143" s="181"/>
      <c r="JPL143" s="181"/>
      <c r="JPM143" s="181"/>
      <c r="JPN143" s="181"/>
      <c r="JPO143" s="181"/>
      <c r="JPP143" s="181"/>
      <c r="JPQ143" s="181"/>
      <c r="JPR143" s="181"/>
      <c r="JPS143" s="181"/>
      <c r="JPT143" s="181"/>
      <c r="JPU143" s="181"/>
      <c r="JPV143" s="181"/>
      <c r="JPW143" s="181"/>
      <c r="JPX143" s="181"/>
      <c r="JPY143" s="181"/>
      <c r="JPZ143" s="181"/>
      <c r="JQA143" s="181"/>
      <c r="JQB143" s="181"/>
      <c r="JQC143" s="181"/>
      <c r="JQD143" s="181"/>
      <c r="JQE143" s="181"/>
      <c r="JQF143" s="181"/>
      <c r="JQG143" s="181"/>
      <c r="JQH143" s="181"/>
      <c r="JQI143" s="181"/>
      <c r="JQJ143" s="181"/>
      <c r="JQK143" s="181"/>
      <c r="JQL143" s="181"/>
      <c r="JQM143" s="181"/>
      <c r="JQN143" s="181"/>
      <c r="JQO143" s="181"/>
      <c r="JQP143" s="181"/>
      <c r="JQQ143" s="181"/>
      <c r="JQR143" s="181"/>
      <c r="JQS143" s="181"/>
      <c r="JQT143" s="181"/>
      <c r="JQU143" s="181"/>
      <c r="JQV143" s="181"/>
      <c r="JQW143" s="181"/>
      <c r="JQX143" s="181"/>
      <c r="JQY143" s="181"/>
      <c r="JQZ143" s="181"/>
      <c r="JRA143" s="181"/>
      <c r="JRB143" s="181"/>
      <c r="JRC143" s="181"/>
      <c r="JRD143" s="181"/>
      <c r="JRE143" s="181"/>
      <c r="JRF143" s="181"/>
      <c r="JRG143" s="181"/>
      <c r="JRH143" s="181"/>
      <c r="JRI143" s="181"/>
      <c r="JRJ143" s="181"/>
      <c r="JRK143" s="181"/>
      <c r="JRL143" s="181"/>
      <c r="JRM143" s="181"/>
      <c r="JRN143" s="181"/>
      <c r="JRO143" s="181"/>
      <c r="JRP143" s="181"/>
      <c r="JRQ143" s="181"/>
      <c r="JRR143" s="181"/>
      <c r="JRS143" s="181"/>
      <c r="JRT143" s="181"/>
      <c r="JRU143" s="181"/>
      <c r="JRV143" s="181"/>
      <c r="JRW143" s="181"/>
      <c r="JRX143" s="181"/>
      <c r="JRY143" s="181"/>
      <c r="JRZ143" s="181"/>
      <c r="JSA143" s="181"/>
      <c r="JSB143" s="181"/>
      <c r="JSC143" s="181"/>
      <c r="JSD143" s="181"/>
      <c r="JSE143" s="181"/>
      <c r="JSF143" s="181"/>
      <c r="JSG143" s="181"/>
      <c r="JSH143" s="181"/>
      <c r="JSI143" s="181"/>
      <c r="JSJ143" s="181"/>
      <c r="JSK143" s="181"/>
      <c r="JSL143" s="181"/>
      <c r="JSM143" s="181"/>
      <c r="JSN143" s="181"/>
      <c r="JSO143" s="181"/>
      <c r="JSP143" s="181"/>
      <c r="JSQ143" s="181"/>
      <c r="JSR143" s="181"/>
      <c r="JSS143" s="181"/>
      <c r="JST143" s="181"/>
      <c r="JSU143" s="181"/>
      <c r="JSV143" s="181"/>
      <c r="JSW143" s="181"/>
      <c r="JSX143" s="181"/>
      <c r="JSY143" s="181"/>
      <c r="JSZ143" s="181"/>
      <c r="JTA143" s="181"/>
      <c r="JTB143" s="181"/>
      <c r="JTC143" s="181"/>
      <c r="JTD143" s="181"/>
      <c r="JTE143" s="181"/>
      <c r="JTF143" s="181"/>
      <c r="JTG143" s="181"/>
      <c r="JTH143" s="181"/>
      <c r="JTI143" s="181"/>
      <c r="JTJ143" s="181"/>
      <c r="JTK143" s="181"/>
      <c r="JTL143" s="181"/>
      <c r="JTM143" s="181"/>
      <c r="JTN143" s="181"/>
      <c r="JTO143" s="181"/>
      <c r="JTP143" s="181"/>
      <c r="JTQ143" s="181"/>
      <c r="JTR143" s="181"/>
      <c r="JTS143" s="181"/>
      <c r="JTT143" s="181"/>
      <c r="JTU143" s="181"/>
      <c r="JTV143" s="181"/>
      <c r="JTW143" s="181"/>
      <c r="JTX143" s="181"/>
      <c r="JTY143" s="181"/>
      <c r="JTZ143" s="181"/>
      <c r="JUA143" s="181"/>
      <c r="JUB143" s="181"/>
      <c r="JUC143" s="181"/>
      <c r="JUD143" s="181"/>
      <c r="JUE143" s="181"/>
      <c r="JUF143" s="181"/>
      <c r="JUG143" s="181"/>
      <c r="JUH143" s="181"/>
      <c r="JUI143" s="181"/>
      <c r="JUJ143" s="181"/>
      <c r="JUK143" s="181"/>
      <c r="JUL143" s="181"/>
      <c r="JUM143" s="181"/>
      <c r="JUN143" s="181"/>
      <c r="JUO143" s="181"/>
      <c r="JUP143" s="181"/>
      <c r="JUQ143" s="181"/>
      <c r="JUR143" s="181"/>
      <c r="JUS143" s="181"/>
      <c r="JUT143" s="181"/>
      <c r="JUU143" s="181"/>
      <c r="JUV143" s="181"/>
      <c r="JUW143" s="181"/>
      <c r="JUX143" s="181"/>
      <c r="JUY143" s="181"/>
      <c r="JUZ143" s="181"/>
      <c r="JVA143" s="181"/>
      <c r="JVB143" s="181"/>
      <c r="JVC143" s="181"/>
      <c r="JVD143" s="181"/>
      <c r="JVE143" s="181"/>
      <c r="JVF143" s="181"/>
      <c r="JVG143" s="181"/>
      <c r="JVH143" s="181"/>
      <c r="JVI143" s="181"/>
      <c r="JVJ143" s="181"/>
      <c r="JVK143" s="181"/>
      <c r="JVL143" s="181"/>
      <c r="JVM143" s="181"/>
      <c r="JVN143" s="181"/>
      <c r="JVO143" s="181"/>
      <c r="JVP143" s="181"/>
      <c r="JVQ143" s="181"/>
      <c r="JVR143" s="181"/>
      <c r="JVS143" s="181"/>
      <c r="JVT143" s="181"/>
      <c r="JVU143" s="181"/>
      <c r="JVV143" s="181"/>
      <c r="JVW143" s="181"/>
      <c r="JVX143" s="181"/>
      <c r="JVY143" s="181"/>
      <c r="JVZ143" s="181"/>
      <c r="JWA143" s="181"/>
      <c r="JWB143" s="181"/>
      <c r="JWC143" s="181"/>
      <c r="JWD143" s="181"/>
      <c r="JWE143" s="181"/>
      <c r="JWF143" s="181"/>
      <c r="JWG143" s="181"/>
      <c r="JWH143" s="181"/>
      <c r="JWI143" s="181"/>
      <c r="JWJ143" s="181"/>
      <c r="JWK143" s="181"/>
      <c r="JWL143" s="181"/>
      <c r="JWM143" s="181"/>
      <c r="JWN143" s="181"/>
      <c r="JWO143" s="181"/>
      <c r="JWP143" s="181"/>
      <c r="JWQ143" s="181"/>
      <c r="JWR143" s="181"/>
      <c r="JWS143" s="181"/>
      <c r="JWT143" s="181"/>
      <c r="JWU143" s="181"/>
      <c r="JWV143" s="181"/>
      <c r="JWW143" s="181"/>
      <c r="JWX143" s="181"/>
      <c r="JWY143" s="181"/>
      <c r="JWZ143" s="181"/>
      <c r="JXA143" s="181"/>
      <c r="JXB143" s="181"/>
      <c r="JXC143" s="181"/>
      <c r="JXD143" s="181"/>
      <c r="JXE143" s="181"/>
      <c r="JXF143" s="181"/>
      <c r="JXG143" s="181"/>
      <c r="JXH143" s="181"/>
      <c r="JXI143" s="181"/>
      <c r="JXJ143" s="181"/>
      <c r="JXK143" s="181"/>
      <c r="JXL143" s="181"/>
      <c r="JXM143" s="181"/>
      <c r="JXN143" s="181"/>
      <c r="JXO143" s="181"/>
      <c r="JXP143" s="181"/>
      <c r="JXQ143" s="181"/>
      <c r="JXR143" s="181"/>
      <c r="JXS143" s="181"/>
      <c r="JXT143" s="181"/>
      <c r="JXU143" s="181"/>
      <c r="JXV143" s="181"/>
      <c r="JXW143" s="181"/>
      <c r="JXX143" s="181"/>
      <c r="JXY143" s="181"/>
      <c r="JXZ143" s="181"/>
      <c r="JYA143" s="181"/>
      <c r="JYB143" s="181"/>
      <c r="JYC143" s="181"/>
      <c r="JYD143" s="181"/>
      <c r="JYE143" s="181"/>
      <c r="JYF143" s="181"/>
      <c r="JYG143" s="181"/>
      <c r="JYH143" s="181"/>
      <c r="JYI143" s="181"/>
      <c r="JYJ143" s="181"/>
      <c r="JYK143" s="181"/>
      <c r="JYL143" s="181"/>
      <c r="JYM143" s="181"/>
      <c r="JYN143" s="181"/>
      <c r="JYO143" s="181"/>
      <c r="JYP143" s="181"/>
      <c r="JYQ143" s="181"/>
      <c r="JYR143" s="181"/>
      <c r="JYS143" s="181"/>
      <c r="JYT143" s="181"/>
      <c r="JYU143" s="181"/>
      <c r="JYV143" s="181"/>
      <c r="JYW143" s="181"/>
      <c r="JYX143" s="181"/>
      <c r="JYY143" s="181"/>
      <c r="JYZ143" s="181"/>
      <c r="JZA143" s="181"/>
      <c r="JZB143" s="181"/>
      <c r="JZC143" s="181"/>
      <c r="JZD143" s="181"/>
      <c r="JZE143" s="181"/>
      <c r="JZF143" s="181"/>
      <c r="JZG143" s="181"/>
      <c r="JZH143" s="181"/>
      <c r="JZI143" s="181"/>
      <c r="JZJ143" s="181"/>
      <c r="JZK143" s="181"/>
      <c r="JZL143" s="181"/>
      <c r="JZM143" s="181"/>
      <c r="JZN143" s="181"/>
      <c r="JZO143" s="181"/>
      <c r="JZP143" s="181"/>
      <c r="JZQ143" s="181"/>
      <c r="JZR143" s="181"/>
      <c r="JZS143" s="181"/>
      <c r="JZT143" s="181"/>
      <c r="JZU143" s="181"/>
      <c r="JZV143" s="181"/>
      <c r="JZW143" s="181"/>
      <c r="JZX143" s="181"/>
      <c r="JZY143" s="181"/>
      <c r="JZZ143" s="181"/>
      <c r="KAA143" s="181"/>
      <c r="KAB143" s="181"/>
      <c r="KAC143" s="181"/>
      <c r="KAD143" s="181"/>
      <c r="KAE143" s="181"/>
      <c r="KAF143" s="181"/>
      <c r="KAG143" s="181"/>
      <c r="KAH143" s="181"/>
      <c r="KAI143" s="181"/>
      <c r="KAJ143" s="181"/>
      <c r="KAK143" s="181"/>
      <c r="KAL143" s="181"/>
      <c r="KAM143" s="181"/>
      <c r="KAN143" s="181"/>
      <c r="KAO143" s="181"/>
      <c r="KAP143" s="181"/>
      <c r="KAQ143" s="181"/>
      <c r="KAR143" s="181"/>
      <c r="KAS143" s="181"/>
      <c r="KAT143" s="181"/>
      <c r="KAU143" s="181"/>
      <c r="KAV143" s="181"/>
      <c r="KAW143" s="181"/>
      <c r="KAX143" s="181"/>
      <c r="KAY143" s="181"/>
      <c r="KAZ143" s="181"/>
      <c r="KBA143" s="181"/>
      <c r="KBB143" s="181"/>
      <c r="KBC143" s="181"/>
      <c r="KBD143" s="181"/>
      <c r="KBE143" s="181"/>
      <c r="KBF143" s="181"/>
      <c r="KBG143" s="181"/>
      <c r="KBH143" s="181"/>
      <c r="KBI143" s="181"/>
      <c r="KBJ143" s="181"/>
      <c r="KBK143" s="181"/>
      <c r="KBL143" s="181"/>
      <c r="KBM143" s="181"/>
      <c r="KBN143" s="181"/>
      <c r="KBO143" s="181"/>
      <c r="KBP143" s="181"/>
      <c r="KBQ143" s="181"/>
      <c r="KBR143" s="181"/>
      <c r="KBS143" s="181"/>
      <c r="KBT143" s="181"/>
      <c r="KBU143" s="181"/>
      <c r="KBV143" s="181"/>
      <c r="KBW143" s="181"/>
      <c r="KBX143" s="181"/>
      <c r="KBY143" s="181"/>
      <c r="KBZ143" s="181"/>
      <c r="KCA143" s="181"/>
      <c r="KCB143" s="181"/>
      <c r="KCC143" s="181"/>
      <c r="KCD143" s="181"/>
      <c r="KCE143" s="181"/>
      <c r="KCF143" s="181"/>
      <c r="KCG143" s="181"/>
      <c r="KCH143" s="181"/>
      <c r="KCI143" s="181"/>
      <c r="KCJ143" s="181"/>
      <c r="KCK143" s="181"/>
      <c r="KCL143" s="181"/>
      <c r="KCM143" s="181"/>
      <c r="KCN143" s="181"/>
      <c r="KCO143" s="181"/>
      <c r="KCP143" s="181"/>
      <c r="KCQ143" s="181"/>
      <c r="KCR143" s="181"/>
      <c r="KCS143" s="181"/>
      <c r="KCT143" s="181"/>
      <c r="KCU143" s="181"/>
      <c r="KCV143" s="181"/>
      <c r="KCW143" s="181"/>
      <c r="KCX143" s="181"/>
      <c r="KCY143" s="181"/>
      <c r="KCZ143" s="181"/>
      <c r="KDA143" s="181"/>
      <c r="KDB143" s="181"/>
      <c r="KDC143" s="181"/>
      <c r="KDD143" s="181"/>
      <c r="KDE143" s="181"/>
      <c r="KDF143" s="181"/>
      <c r="KDG143" s="181"/>
      <c r="KDH143" s="181"/>
      <c r="KDI143" s="181"/>
      <c r="KDJ143" s="181"/>
      <c r="KDK143" s="181"/>
      <c r="KDL143" s="181"/>
      <c r="KDM143" s="181"/>
      <c r="KDN143" s="181"/>
      <c r="KDO143" s="181"/>
      <c r="KDP143" s="181"/>
      <c r="KDQ143" s="181"/>
      <c r="KDR143" s="181"/>
      <c r="KDS143" s="181"/>
      <c r="KDT143" s="181"/>
      <c r="KDU143" s="181"/>
      <c r="KDV143" s="181"/>
      <c r="KDW143" s="181"/>
      <c r="KDX143" s="181"/>
      <c r="KDY143" s="181"/>
      <c r="KDZ143" s="181"/>
      <c r="KEA143" s="181"/>
      <c r="KEB143" s="181"/>
      <c r="KEC143" s="181"/>
      <c r="KED143" s="181"/>
      <c r="KEE143" s="181"/>
      <c r="KEF143" s="181"/>
      <c r="KEG143" s="181"/>
      <c r="KEH143" s="181"/>
      <c r="KEI143" s="181"/>
      <c r="KEJ143" s="181"/>
      <c r="KEK143" s="181"/>
      <c r="KEL143" s="181"/>
      <c r="KEM143" s="181"/>
      <c r="KEN143" s="181"/>
      <c r="KEO143" s="181"/>
      <c r="KEP143" s="181"/>
      <c r="KEQ143" s="181"/>
      <c r="KER143" s="181"/>
      <c r="KES143" s="181"/>
      <c r="KET143" s="181"/>
      <c r="KEU143" s="181"/>
      <c r="KEV143" s="181"/>
      <c r="KEW143" s="181"/>
      <c r="KEX143" s="181"/>
      <c r="KEY143" s="181"/>
      <c r="KEZ143" s="181"/>
      <c r="KFA143" s="181"/>
      <c r="KFB143" s="181"/>
      <c r="KFC143" s="181"/>
      <c r="KFD143" s="181"/>
      <c r="KFE143" s="181"/>
      <c r="KFF143" s="181"/>
      <c r="KFG143" s="181"/>
      <c r="KFH143" s="181"/>
      <c r="KFI143" s="181"/>
      <c r="KFJ143" s="181"/>
      <c r="KFK143" s="181"/>
      <c r="KFL143" s="181"/>
      <c r="KFM143" s="181"/>
      <c r="KFN143" s="181"/>
      <c r="KFO143" s="181"/>
      <c r="KFP143" s="181"/>
      <c r="KFQ143" s="181"/>
      <c r="KFR143" s="181"/>
      <c r="KFS143" s="181"/>
      <c r="KFT143" s="181"/>
      <c r="KFU143" s="181"/>
      <c r="KFV143" s="181"/>
      <c r="KFW143" s="181"/>
      <c r="KFX143" s="181"/>
      <c r="KFY143" s="181"/>
      <c r="KFZ143" s="181"/>
      <c r="KGA143" s="181"/>
      <c r="KGB143" s="181"/>
      <c r="KGC143" s="181"/>
      <c r="KGD143" s="181"/>
      <c r="KGE143" s="181"/>
      <c r="KGF143" s="181"/>
      <c r="KGG143" s="181"/>
      <c r="KGH143" s="181"/>
      <c r="KGI143" s="181"/>
      <c r="KGJ143" s="181"/>
      <c r="KGK143" s="181"/>
      <c r="KGL143" s="181"/>
      <c r="KGM143" s="181"/>
      <c r="KGN143" s="181"/>
      <c r="KGO143" s="181"/>
      <c r="KGP143" s="181"/>
      <c r="KGQ143" s="181"/>
      <c r="KGR143" s="181"/>
      <c r="KGS143" s="181"/>
      <c r="KGT143" s="181"/>
      <c r="KGU143" s="181"/>
      <c r="KGV143" s="181"/>
      <c r="KGW143" s="181"/>
      <c r="KGX143" s="181"/>
      <c r="KGY143" s="181"/>
      <c r="KGZ143" s="181"/>
      <c r="KHA143" s="181"/>
      <c r="KHB143" s="181"/>
      <c r="KHC143" s="181"/>
      <c r="KHD143" s="181"/>
      <c r="KHE143" s="181"/>
      <c r="KHF143" s="181"/>
      <c r="KHG143" s="181"/>
      <c r="KHH143" s="181"/>
      <c r="KHI143" s="181"/>
      <c r="KHJ143" s="181"/>
      <c r="KHK143" s="181"/>
      <c r="KHL143" s="181"/>
      <c r="KHM143" s="181"/>
      <c r="KHN143" s="181"/>
      <c r="KHO143" s="181"/>
      <c r="KHP143" s="181"/>
      <c r="KHQ143" s="181"/>
      <c r="KHR143" s="181"/>
      <c r="KHS143" s="181"/>
      <c r="KHT143" s="181"/>
      <c r="KHU143" s="181"/>
      <c r="KHV143" s="181"/>
      <c r="KHW143" s="181"/>
      <c r="KHX143" s="181"/>
      <c r="KHY143" s="181"/>
      <c r="KHZ143" s="181"/>
      <c r="KIA143" s="181"/>
      <c r="KIB143" s="181"/>
      <c r="KIC143" s="181"/>
      <c r="KID143" s="181"/>
      <c r="KIE143" s="181"/>
      <c r="KIF143" s="181"/>
      <c r="KIG143" s="181"/>
      <c r="KIH143" s="181"/>
      <c r="KII143" s="181"/>
      <c r="KIJ143" s="181"/>
      <c r="KIK143" s="181"/>
      <c r="KIL143" s="181"/>
      <c r="KIM143" s="181"/>
      <c r="KIN143" s="181"/>
      <c r="KIO143" s="181"/>
      <c r="KIP143" s="181"/>
      <c r="KIQ143" s="181"/>
      <c r="KIR143" s="181"/>
      <c r="KIS143" s="181"/>
      <c r="KIT143" s="181"/>
      <c r="KIU143" s="181"/>
      <c r="KIV143" s="181"/>
      <c r="KIW143" s="181"/>
      <c r="KIX143" s="181"/>
      <c r="KIY143" s="181"/>
      <c r="KIZ143" s="181"/>
      <c r="KJA143" s="181"/>
      <c r="KJB143" s="181"/>
      <c r="KJC143" s="181"/>
      <c r="KJD143" s="181"/>
      <c r="KJE143" s="181"/>
      <c r="KJF143" s="181"/>
      <c r="KJG143" s="181"/>
      <c r="KJH143" s="181"/>
      <c r="KJI143" s="181"/>
      <c r="KJJ143" s="181"/>
      <c r="KJK143" s="181"/>
      <c r="KJL143" s="181"/>
      <c r="KJM143" s="181"/>
      <c r="KJN143" s="181"/>
      <c r="KJO143" s="181"/>
      <c r="KJP143" s="181"/>
      <c r="KJQ143" s="181"/>
      <c r="KJR143" s="181"/>
      <c r="KJS143" s="181"/>
      <c r="KJT143" s="181"/>
      <c r="KJU143" s="181"/>
      <c r="KJV143" s="181"/>
      <c r="KJW143" s="181"/>
      <c r="KJX143" s="181"/>
      <c r="KJY143" s="181"/>
      <c r="KJZ143" s="181"/>
      <c r="KKA143" s="181"/>
      <c r="KKB143" s="181"/>
      <c r="KKC143" s="181"/>
      <c r="KKD143" s="181"/>
      <c r="KKE143" s="181"/>
      <c r="KKF143" s="181"/>
      <c r="KKG143" s="181"/>
      <c r="KKH143" s="181"/>
      <c r="KKI143" s="181"/>
      <c r="KKJ143" s="181"/>
      <c r="KKK143" s="181"/>
      <c r="KKL143" s="181"/>
      <c r="KKM143" s="181"/>
      <c r="KKN143" s="181"/>
      <c r="KKO143" s="181"/>
      <c r="KKP143" s="181"/>
      <c r="KKQ143" s="181"/>
      <c r="KKR143" s="181"/>
      <c r="KKS143" s="181"/>
      <c r="KKT143" s="181"/>
      <c r="KKU143" s="181"/>
      <c r="KKV143" s="181"/>
      <c r="KKW143" s="181"/>
      <c r="KKX143" s="181"/>
      <c r="KKY143" s="181"/>
      <c r="KKZ143" s="181"/>
      <c r="KLA143" s="181"/>
      <c r="KLB143" s="181"/>
      <c r="KLC143" s="181"/>
      <c r="KLD143" s="181"/>
      <c r="KLE143" s="181"/>
      <c r="KLF143" s="181"/>
      <c r="KLG143" s="181"/>
      <c r="KLH143" s="181"/>
      <c r="KLI143" s="181"/>
      <c r="KLJ143" s="181"/>
      <c r="KLK143" s="181"/>
      <c r="KLL143" s="181"/>
      <c r="KLM143" s="181"/>
      <c r="KLN143" s="181"/>
      <c r="KLO143" s="181"/>
      <c r="KLP143" s="181"/>
      <c r="KLQ143" s="181"/>
      <c r="KLR143" s="181"/>
      <c r="KLS143" s="181"/>
      <c r="KLT143" s="181"/>
      <c r="KLU143" s="181"/>
      <c r="KLV143" s="181"/>
      <c r="KLW143" s="181"/>
      <c r="KLX143" s="181"/>
      <c r="KLY143" s="181"/>
      <c r="KLZ143" s="181"/>
      <c r="KMA143" s="181"/>
      <c r="KMB143" s="181"/>
      <c r="KMC143" s="181"/>
      <c r="KMD143" s="181"/>
      <c r="KME143" s="181"/>
      <c r="KMF143" s="181"/>
      <c r="KMG143" s="181"/>
      <c r="KMH143" s="181"/>
      <c r="KMI143" s="181"/>
      <c r="KMJ143" s="181"/>
      <c r="KMK143" s="181"/>
      <c r="KML143" s="181"/>
      <c r="KMM143" s="181"/>
      <c r="KMN143" s="181"/>
      <c r="KMO143" s="181"/>
      <c r="KMP143" s="181"/>
      <c r="KMQ143" s="181"/>
      <c r="KMR143" s="181"/>
      <c r="KMS143" s="181"/>
      <c r="KMT143" s="181"/>
      <c r="KMU143" s="181"/>
      <c r="KMV143" s="181"/>
      <c r="KMW143" s="181"/>
      <c r="KMX143" s="181"/>
      <c r="KMY143" s="181"/>
      <c r="KMZ143" s="181"/>
      <c r="KNA143" s="181"/>
      <c r="KNB143" s="181"/>
      <c r="KNC143" s="181"/>
      <c r="KND143" s="181"/>
      <c r="KNE143" s="181"/>
      <c r="KNF143" s="181"/>
      <c r="KNG143" s="181"/>
      <c r="KNH143" s="181"/>
      <c r="KNI143" s="181"/>
      <c r="KNJ143" s="181"/>
      <c r="KNK143" s="181"/>
      <c r="KNL143" s="181"/>
      <c r="KNM143" s="181"/>
      <c r="KNN143" s="181"/>
      <c r="KNO143" s="181"/>
      <c r="KNP143" s="181"/>
      <c r="KNQ143" s="181"/>
      <c r="KNR143" s="181"/>
      <c r="KNS143" s="181"/>
      <c r="KNT143" s="181"/>
      <c r="KNU143" s="181"/>
      <c r="KNV143" s="181"/>
      <c r="KNW143" s="181"/>
      <c r="KNX143" s="181"/>
      <c r="KNY143" s="181"/>
      <c r="KNZ143" s="181"/>
      <c r="KOA143" s="181"/>
      <c r="KOB143" s="181"/>
      <c r="KOC143" s="181"/>
      <c r="KOD143" s="181"/>
      <c r="KOE143" s="181"/>
      <c r="KOF143" s="181"/>
      <c r="KOG143" s="181"/>
      <c r="KOH143" s="181"/>
      <c r="KOI143" s="181"/>
      <c r="KOJ143" s="181"/>
      <c r="KOK143" s="181"/>
      <c r="KOL143" s="181"/>
      <c r="KOM143" s="181"/>
      <c r="KON143" s="181"/>
      <c r="KOO143" s="181"/>
      <c r="KOP143" s="181"/>
      <c r="KOQ143" s="181"/>
      <c r="KOR143" s="181"/>
      <c r="KOS143" s="181"/>
      <c r="KOT143" s="181"/>
      <c r="KOU143" s="181"/>
      <c r="KOV143" s="181"/>
      <c r="KOW143" s="181"/>
      <c r="KOX143" s="181"/>
      <c r="KOY143" s="181"/>
      <c r="KOZ143" s="181"/>
      <c r="KPA143" s="181"/>
      <c r="KPB143" s="181"/>
      <c r="KPC143" s="181"/>
      <c r="KPD143" s="181"/>
      <c r="KPE143" s="181"/>
      <c r="KPF143" s="181"/>
      <c r="KPG143" s="181"/>
      <c r="KPH143" s="181"/>
      <c r="KPI143" s="181"/>
      <c r="KPJ143" s="181"/>
      <c r="KPK143" s="181"/>
      <c r="KPL143" s="181"/>
      <c r="KPM143" s="181"/>
      <c r="KPN143" s="181"/>
      <c r="KPO143" s="181"/>
      <c r="KPP143" s="181"/>
      <c r="KPQ143" s="181"/>
      <c r="KPR143" s="181"/>
      <c r="KPS143" s="181"/>
      <c r="KPT143" s="181"/>
      <c r="KPU143" s="181"/>
      <c r="KPV143" s="181"/>
      <c r="KPW143" s="181"/>
      <c r="KPX143" s="181"/>
      <c r="KPY143" s="181"/>
      <c r="KPZ143" s="181"/>
      <c r="KQA143" s="181"/>
      <c r="KQB143" s="181"/>
      <c r="KQC143" s="181"/>
      <c r="KQD143" s="181"/>
      <c r="KQE143" s="181"/>
      <c r="KQF143" s="181"/>
      <c r="KQG143" s="181"/>
      <c r="KQH143" s="181"/>
      <c r="KQI143" s="181"/>
      <c r="KQJ143" s="181"/>
      <c r="KQK143" s="181"/>
      <c r="KQL143" s="181"/>
      <c r="KQM143" s="181"/>
      <c r="KQN143" s="181"/>
      <c r="KQO143" s="181"/>
      <c r="KQP143" s="181"/>
      <c r="KQQ143" s="181"/>
      <c r="KQR143" s="181"/>
      <c r="KQS143" s="181"/>
      <c r="KQT143" s="181"/>
      <c r="KQU143" s="181"/>
      <c r="KQV143" s="181"/>
      <c r="KQW143" s="181"/>
      <c r="KQX143" s="181"/>
      <c r="KQY143" s="181"/>
      <c r="KQZ143" s="181"/>
      <c r="KRA143" s="181"/>
      <c r="KRB143" s="181"/>
      <c r="KRC143" s="181"/>
      <c r="KRD143" s="181"/>
      <c r="KRE143" s="181"/>
      <c r="KRF143" s="181"/>
      <c r="KRG143" s="181"/>
      <c r="KRH143" s="181"/>
      <c r="KRI143" s="181"/>
      <c r="KRJ143" s="181"/>
      <c r="KRK143" s="181"/>
      <c r="KRL143" s="181"/>
      <c r="KRM143" s="181"/>
      <c r="KRN143" s="181"/>
      <c r="KRO143" s="181"/>
      <c r="KRP143" s="181"/>
      <c r="KRQ143" s="181"/>
      <c r="KRR143" s="181"/>
      <c r="KRS143" s="181"/>
      <c r="KRT143" s="181"/>
      <c r="KRU143" s="181"/>
      <c r="KRV143" s="181"/>
      <c r="KRW143" s="181"/>
      <c r="KRX143" s="181"/>
      <c r="KRY143" s="181"/>
      <c r="KRZ143" s="181"/>
      <c r="KSA143" s="181"/>
      <c r="KSB143" s="181"/>
      <c r="KSC143" s="181"/>
      <c r="KSD143" s="181"/>
      <c r="KSE143" s="181"/>
      <c r="KSF143" s="181"/>
      <c r="KSG143" s="181"/>
      <c r="KSH143" s="181"/>
      <c r="KSI143" s="181"/>
      <c r="KSJ143" s="181"/>
      <c r="KSK143" s="181"/>
      <c r="KSL143" s="181"/>
      <c r="KSM143" s="181"/>
      <c r="KSN143" s="181"/>
      <c r="KSO143" s="181"/>
      <c r="KSP143" s="181"/>
      <c r="KSQ143" s="181"/>
      <c r="KSR143" s="181"/>
      <c r="KSS143" s="181"/>
      <c r="KST143" s="181"/>
      <c r="KSU143" s="181"/>
      <c r="KSV143" s="181"/>
      <c r="KSW143" s="181"/>
      <c r="KSX143" s="181"/>
      <c r="KSY143" s="181"/>
      <c r="KSZ143" s="181"/>
      <c r="KTA143" s="181"/>
      <c r="KTB143" s="181"/>
      <c r="KTC143" s="181"/>
      <c r="KTD143" s="181"/>
      <c r="KTE143" s="181"/>
      <c r="KTF143" s="181"/>
      <c r="KTG143" s="181"/>
      <c r="KTH143" s="181"/>
      <c r="KTI143" s="181"/>
      <c r="KTJ143" s="181"/>
      <c r="KTK143" s="181"/>
      <c r="KTL143" s="181"/>
      <c r="KTM143" s="181"/>
      <c r="KTN143" s="181"/>
      <c r="KTO143" s="181"/>
      <c r="KTP143" s="181"/>
      <c r="KTQ143" s="181"/>
      <c r="KTR143" s="181"/>
      <c r="KTS143" s="181"/>
      <c r="KTT143" s="181"/>
      <c r="KTU143" s="181"/>
      <c r="KTV143" s="181"/>
      <c r="KTW143" s="181"/>
      <c r="KTX143" s="181"/>
      <c r="KTY143" s="181"/>
      <c r="KTZ143" s="181"/>
      <c r="KUA143" s="181"/>
      <c r="KUB143" s="181"/>
      <c r="KUC143" s="181"/>
      <c r="KUD143" s="181"/>
      <c r="KUE143" s="181"/>
      <c r="KUF143" s="181"/>
      <c r="KUG143" s="181"/>
      <c r="KUH143" s="181"/>
      <c r="KUI143" s="181"/>
      <c r="KUJ143" s="181"/>
      <c r="KUK143" s="181"/>
      <c r="KUL143" s="181"/>
      <c r="KUM143" s="181"/>
      <c r="KUN143" s="181"/>
      <c r="KUO143" s="181"/>
      <c r="KUP143" s="181"/>
      <c r="KUQ143" s="181"/>
      <c r="KUR143" s="181"/>
      <c r="KUS143" s="181"/>
      <c r="KUT143" s="181"/>
      <c r="KUU143" s="181"/>
      <c r="KUV143" s="181"/>
      <c r="KUW143" s="181"/>
      <c r="KUX143" s="181"/>
      <c r="KUY143" s="181"/>
      <c r="KUZ143" s="181"/>
      <c r="KVA143" s="181"/>
      <c r="KVB143" s="181"/>
      <c r="KVC143" s="181"/>
      <c r="KVD143" s="181"/>
      <c r="KVE143" s="181"/>
      <c r="KVF143" s="181"/>
      <c r="KVG143" s="181"/>
      <c r="KVH143" s="181"/>
      <c r="KVI143" s="181"/>
      <c r="KVJ143" s="181"/>
      <c r="KVK143" s="181"/>
      <c r="KVL143" s="181"/>
      <c r="KVM143" s="181"/>
      <c r="KVN143" s="181"/>
      <c r="KVO143" s="181"/>
      <c r="KVP143" s="181"/>
      <c r="KVQ143" s="181"/>
      <c r="KVR143" s="181"/>
      <c r="KVS143" s="181"/>
      <c r="KVT143" s="181"/>
      <c r="KVU143" s="181"/>
      <c r="KVV143" s="181"/>
      <c r="KVW143" s="181"/>
      <c r="KVX143" s="181"/>
      <c r="KVY143" s="181"/>
      <c r="KVZ143" s="181"/>
      <c r="KWA143" s="181"/>
      <c r="KWB143" s="181"/>
      <c r="KWC143" s="181"/>
      <c r="KWD143" s="181"/>
      <c r="KWE143" s="181"/>
      <c r="KWF143" s="181"/>
      <c r="KWG143" s="181"/>
      <c r="KWH143" s="181"/>
      <c r="KWI143" s="181"/>
      <c r="KWJ143" s="181"/>
      <c r="KWK143" s="181"/>
      <c r="KWL143" s="181"/>
      <c r="KWM143" s="181"/>
      <c r="KWN143" s="181"/>
      <c r="KWO143" s="181"/>
      <c r="KWP143" s="181"/>
      <c r="KWQ143" s="181"/>
      <c r="KWR143" s="181"/>
      <c r="KWS143" s="181"/>
      <c r="KWT143" s="181"/>
      <c r="KWU143" s="181"/>
      <c r="KWV143" s="181"/>
      <c r="KWW143" s="181"/>
      <c r="KWX143" s="181"/>
      <c r="KWY143" s="181"/>
      <c r="KWZ143" s="181"/>
      <c r="KXA143" s="181"/>
      <c r="KXB143" s="181"/>
      <c r="KXC143" s="181"/>
      <c r="KXD143" s="181"/>
      <c r="KXE143" s="181"/>
      <c r="KXF143" s="181"/>
      <c r="KXG143" s="181"/>
      <c r="KXH143" s="181"/>
      <c r="KXI143" s="181"/>
      <c r="KXJ143" s="181"/>
      <c r="KXK143" s="181"/>
      <c r="KXL143" s="181"/>
      <c r="KXM143" s="181"/>
      <c r="KXN143" s="181"/>
      <c r="KXO143" s="181"/>
      <c r="KXP143" s="181"/>
      <c r="KXQ143" s="181"/>
      <c r="KXR143" s="181"/>
      <c r="KXS143" s="181"/>
      <c r="KXT143" s="181"/>
      <c r="KXU143" s="181"/>
      <c r="KXV143" s="181"/>
      <c r="KXW143" s="181"/>
      <c r="KXX143" s="181"/>
      <c r="KXY143" s="181"/>
      <c r="KXZ143" s="181"/>
      <c r="KYA143" s="181"/>
      <c r="KYB143" s="181"/>
      <c r="KYC143" s="181"/>
      <c r="KYD143" s="181"/>
      <c r="KYE143" s="181"/>
      <c r="KYF143" s="181"/>
      <c r="KYG143" s="181"/>
      <c r="KYH143" s="181"/>
      <c r="KYI143" s="181"/>
      <c r="KYJ143" s="181"/>
      <c r="KYK143" s="181"/>
      <c r="KYL143" s="181"/>
      <c r="KYM143" s="181"/>
      <c r="KYN143" s="181"/>
      <c r="KYO143" s="181"/>
      <c r="KYP143" s="181"/>
      <c r="KYQ143" s="181"/>
      <c r="KYR143" s="181"/>
      <c r="KYS143" s="181"/>
      <c r="KYT143" s="181"/>
      <c r="KYU143" s="181"/>
      <c r="KYV143" s="181"/>
      <c r="KYW143" s="181"/>
      <c r="KYX143" s="181"/>
      <c r="KYY143" s="181"/>
      <c r="KYZ143" s="181"/>
      <c r="KZA143" s="181"/>
      <c r="KZB143" s="181"/>
      <c r="KZC143" s="181"/>
      <c r="KZD143" s="181"/>
      <c r="KZE143" s="181"/>
      <c r="KZF143" s="181"/>
      <c r="KZG143" s="181"/>
      <c r="KZH143" s="181"/>
      <c r="KZI143" s="181"/>
      <c r="KZJ143" s="181"/>
      <c r="KZK143" s="181"/>
      <c r="KZL143" s="181"/>
      <c r="KZM143" s="181"/>
      <c r="KZN143" s="181"/>
      <c r="KZO143" s="181"/>
      <c r="KZP143" s="181"/>
      <c r="KZQ143" s="181"/>
      <c r="KZR143" s="181"/>
      <c r="KZS143" s="181"/>
      <c r="KZT143" s="181"/>
      <c r="KZU143" s="181"/>
      <c r="KZV143" s="181"/>
      <c r="KZW143" s="181"/>
      <c r="KZX143" s="181"/>
      <c r="KZY143" s="181"/>
      <c r="KZZ143" s="181"/>
      <c r="LAA143" s="181"/>
      <c r="LAB143" s="181"/>
      <c r="LAC143" s="181"/>
      <c r="LAD143" s="181"/>
      <c r="LAE143" s="181"/>
      <c r="LAF143" s="181"/>
      <c r="LAG143" s="181"/>
      <c r="LAH143" s="181"/>
      <c r="LAI143" s="181"/>
      <c r="LAJ143" s="181"/>
      <c r="LAK143" s="181"/>
      <c r="LAL143" s="181"/>
      <c r="LAM143" s="181"/>
      <c r="LAN143" s="181"/>
      <c r="LAO143" s="181"/>
      <c r="LAP143" s="181"/>
      <c r="LAQ143" s="181"/>
      <c r="LAR143" s="181"/>
      <c r="LAS143" s="181"/>
      <c r="LAT143" s="181"/>
      <c r="LAU143" s="181"/>
      <c r="LAV143" s="181"/>
      <c r="LAW143" s="181"/>
      <c r="LAX143" s="181"/>
      <c r="LAY143" s="181"/>
      <c r="LAZ143" s="181"/>
      <c r="LBA143" s="181"/>
      <c r="LBB143" s="181"/>
      <c r="LBC143" s="181"/>
      <c r="LBD143" s="181"/>
      <c r="LBE143" s="181"/>
      <c r="LBF143" s="181"/>
      <c r="LBG143" s="181"/>
      <c r="LBH143" s="181"/>
      <c r="LBI143" s="181"/>
      <c r="LBJ143" s="181"/>
      <c r="LBK143" s="181"/>
      <c r="LBL143" s="181"/>
      <c r="LBM143" s="181"/>
      <c r="LBN143" s="181"/>
      <c r="LBO143" s="181"/>
      <c r="LBP143" s="181"/>
      <c r="LBQ143" s="181"/>
      <c r="LBR143" s="181"/>
      <c r="LBS143" s="181"/>
      <c r="LBT143" s="181"/>
      <c r="LBU143" s="181"/>
      <c r="LBV143" s="181"/>
      <c r="LBW143" s="181"/>
      <c r="LBX143" s="181"/>
      <c r="LBY143" s="181"/>
      <c r="LBZ143" s="181"/>
      <c r="LCA143" s="181"/>
      <c r="LCB143" s="181"/>
      <c r="LCC143" s="181"/>
      <c r="LCD143" s="181"/>
      <c r="LCE143" s="181"/>
      <c r="LCF143" s="181"/>
      <c r="LCG143" s="181"/>
      <c r="LCH143" s="181"/>
      <c r="LCI143" s="181"/>
      <c r="LCJ143" s="181"/>
      <c r="LCK143" s="181"/>
      <c r="LCL143" s="181"/>
      <c r="LCM143" s="181"/>
      <c r="LCN143" s="181"/>
      <c r="LCO143" s="181"/>
      <c r="LCP143" s="181"/>
      <c r="LCQ143" s="181"/>
      <c r="LCR143" s="181"/>
      <c r="LCS143" s="181"/>
      <c r="LCT143" s="181"/>
      <c r="LCU143" s="181"/>
      <c r="LCV143" s="181"/>
      <c r="LCW143" s="181"/>
      <c r="LCX143" s="181"/>
      <c r="LCY143" s="181"/>
      <c r="LCZ143" s="181"/>
      <c r="LDA143" s="181"/>
      <c r="LDB143" s="181"/>
      <c r="LDC143" s="181"/>
      <c r="LDD143" s="181"/>
      <c r="LDE143" s="181"/>
      <c r="LDF143" s="181"/>
      <c r="LDG143" s="181"/>
      <c r="LDH143" s="181"/>
      <c r="LDI143" s="181"/>
      <c r="LDJ143" s="181"/>
      <c r="LDK143" s="181"/>
      <c r="LDL143" s="181"/>
      <c r="LDM143" s="181"/>
      <c r="LDN143" s="181"/>
      <c r="LDO143" s="181"/>
      <c r="LDP143" s="181"/>
      <c r="LDQ143" s="181"/>
      <c r="LDR143" s="181"/>
      <c r="LDS143" s="181"/>
      <c r="LDT143" s="181"/>
      <c r="LDU143" s="181"/>
      <c r="LDV143" s="181"/>
      <c r="LDW143" s="181"/>
      <c r="LDX143" s="181"/>
      <c r="LDY143" s="181"/>
      <c r="LDZ143" s="181"/>
      <c r="LEA143" s="181"/>
      <c r="LEB143" s="181"/>
      <c r="LEC143" s="181"/>
      <c r="LED143" s="181"/>
      <c r="LEE143" s="181"/>
      <c r="LEF143" s="181"/>
      <c r="LEG143" s="181"/>
      <c r="LEH143" s="181"/>
      <c r="LEI143" s="181"/>
      <c r="LEJ143" s="181"/>
      <c r="LEK143" s="181"/>
      <c r="LEL143" s="181"/>
      <c r="LEM143" s="181"/>
      <c r="LEN143" s="181"/>
      <c r="LEO143" s="181"/>
      <c r="LEP143" s="181"/>
      <c r="LEQ143" s="181"/>
      <c r="LER143" s="181"/>
      <c r="LES143" s="181"/>
      <c r="LET143" s="181"/>
      <c r="LEU143" s="181"/>
      <c r="LEV143" s="181"/>
      <c r="LEW143" s="181"/>
      <c r="LEX143" s="181"/>
      <c r="LEY143" s="181"/>
      <c r="LEZ143" s="181"/>
      <c r="LFA143" s="181"/>
      <c r="LFB143" s="181"/>
      <c r="LFC143" s="181"/>
      <c r="LFD143" s="181"/>
      <c r="LFE143" s="181"/>
      <c r="LFF143" s="181"/>
      <c r="LFG143" s="181"/>
      <c r="LFH143" s="181"/>
      <c r="LFI143" s="181"/>
      <c r="LFJ143" s="181"/>
      <c r="LFK143" s="181"/>
      <c r="LFL143" s="181"/>
      <c r="LFM143" s="181"/>
      <c r="LFN143" s="181"/>
      <c r="LFO143" s="181"/>
      <c r="LFP143" s="181"/>
      <c r="LFQ143" s="181"/>
      <c r="LFR143" s="181"/>
      <c r="LFS143" s="181"/>
      <c r="LFT143" s="181"/>
      <c r="LFU143" s="181"/>
      <c r="LFV143" s="181"/>
      <c r="LFW143" s="181"/>
      <c r="LFX143" s="181"/>
      <c r="LFY143" s="181"/>
      <c r="LFZ143" s="181"/>
      <c r="LGA143" s="181"/>
      <c r="LGB143" s="181"/>
      <c r="LGC143" s="181"/>
      <c r="LGD143" s="181"/>
      <c r="LGE143" s="181"/>
      <c r="LGF143" s="181"/>
      <c r="LGG143" s="181"/>
      <c r="LGH143" s="181"/>
      <c r="LGI143" s="181"/>
      <c r="LGJ143" s="181"/>
      <c r="LGK143" s="181"/>
      <c r="LGL143" s="181"/>
      <c r="LGM143" s="181"/>
      <c r="LGN143" s="181"/>
      <c r="LGO143" s="181"/>
      <c r="LGP143" s="181"/>
      <c r="LGQ143" s="181"/>
      <c r="LGR143" s="181"/>
      <c r="LGS143" s="181"/>
      <c r="LGT143" s="181"/>
      <c r="LGU143" s="181"/>
      <c r="LGV143" s="181"/>
      <c r="LGW143" s="181"/>
      <c r="LGX143" s="181"/>
      <c r="LGY143" s="181"/>
      <c r="LGZ143" s="181"/>
      <c r="LHA143" s="181"/>
      <c r="LHB143" s="181"/>
      <c r="LHC143" s="181"/>
      <c r="LHD143" s="181"/>
      <c r="LHE143" s="181"/>
      <c r="LHF143" s="181"/>
      <c r="LHG143" s="181"/>
      <c r="LHH143" s="181"/>
      <c r="LHI143" s="181"/>
      <c r="LHJ143" s="181"/>
      <c r="LHK143" s="181"/>
      <c r="LHL143" s="181"/>
      <c r="LHM143" s="181"/>
      <c r="LHN143" s="181"/>
      <c r="LHO143" s="181"/>
      <c r="LHP143" s="181"/>
      <c r="LHQ143" s="181"/>
      <c r="LHR143" s="181"/>
      <c r="LHS143" s="181"/>
      <c r="LHT143" s="181"/>
      <c r="LHU143" s="181"/>
      <c r="LHV143" s="181"/>
      <c r="LHW143" s="181"/>
      <c r="LHX143" s="181"/>
      <c r="LHY143" s="181"/>
      <c r="LHZ143" s="181"/>
      <c r="LIA143" s="181"/>
      <c r="LIB143" s="181"/>
      <c r="LIC143" s="181"/>
      <c r="LID143" s="181"/>
      <c r="LIE143" s="181"/>
      <c r="LIF143" s="181"/>
      <c r="LIG143" s="181"/>
      <c r="LIH143" s="181"/>
      <c r="LII143" s="181"/>
      <c r="LIJ143" s="181"/>
      <c r="LIK143" s="181"/>
      <c r="LIL143" s="181"/>
      <c r="LIM143" s="181"/>
      <c r="LIN143" s="181"/>
      <c r="LIO143" s="181"/>
      <c r="LIP143" s="181"/>
      <c r="LIQ143" s="181"/>
      <c r="LIR143" s="181"/>
      <c r="LIS143" s="181"/>
      <c r="LIT143" s="181"/>
      <c r="LIU143" s="181"/>
      <c r="LIV143" s="181"/>
      <c r="LIW143" s="181"/>
      <c r="LIX143" s="181"/>
      <c r="LIY143" s="181"/>
      <c r="LIZ143" s="181"/>
      <c r="LJA143" s="181"/>
      <c r="LJB143" s="181"/>
      <c r="LJC143" s="181"/>
      <c r="LJD143" s="181"/>
      <c r="LJE143" s="181"/>
      <c r="LJF143" s="181"/>
      <c r="LJG143" s="181"/>
      <c r="LJH143" s="181"/>
      <c r="LJI143" s="181"/>
      <c r="LJJ143" s="181"/>
      <c r="LJK143" s="181"/>
      <c r="LJL143" s="181"/>
      <c r="LJM143" s="181"/>
      <c r="LJN143" s="181"/>
      <c r="LJO143" s="181"/>
      <c r="LJP143" s="181"/>
      <c r="LJQ143" s="181"/>
      <c r="LJR143" s="181"/>
      <c r="LJS143" s="181"/>
      <c r="LJT143" s="181"/>
      <c r="LJU143" s="181"/>
      <c r="LJV143" s="181"/>
      <c r="LJW143" s="181"/>
      <c r="LJX143" s="181"/>
      <c r="LJY143" s="181"/>
      <c r="LJZ143" s="181"/>
      <c r="LKA143" s="181"/>
      <c r="LKB143" s="181"/>
      <c r="LKC143" s="181"/>
      <c r="LKD143" s="181"/>
      <c r="LKE143" s="181"/>
      <c r="LKF143" s="181"/>
      <c r="LKG143" s="181"/>
      <c r="LKH143" s="181"/>
      <c r="LKI143" s="181"/>
      <c r="LKJ143" s="181"/>
      <c r="LKK143" s="181"/>
      <c r="LKL143" s="181"/>
      <c r="LKM143" s="181"/>
      <c r="LKN143" s="181"/>
      <c r="LKO143" s="181"/>
      <c r="LKP143" s="181"/>
      <c r="LKQ143" s="181"/>
      <c r="LKR143" s="181"/>
      <c r="LKS143" s="181"/>
      <c r="LKT143" s="181"/>
      <c r="LKU143" s="181"/>
      <c r="LKV143" s="181"/>
      <c r="LKW143" s="181"/>
      <c r="LKX143" s="181"/>
      <c r="LKY143" s="181"/>
      <c r="LKZ143" s="181"/>
      <c r="LLA143" s="181"/>
      <c r="LLB143" s="181"/>
      <c r="LLC143" s="181"/>
      <c r="LLD143" s="181"/>
      <c r="LLE143" s="181"/>
      <c r="LLF143" s="181"/>
      <c r="LLG143" s="181"/>
      <c r="LLH143" s="181"/>
      <c r="LLI143" s="181"/>
      <c r="LLJ143" s="181"/>
      <c r="LLK143" s="181"/>
      <c r="LLL143" s="181"/>
      <c r="LLM143" s="181"/>
      <c r="LLN143" s="181"/>
      <c r="LLO143" s="181"/>
      <c r="LLP143" s="181"/>
      <c r="LLQ143" s="181"/>
      <c r="LLR143" s="181"/>
      <c r="LLS143" s="181"/>
      <c r="LLT143" s="181"/>
      <c r="LLU143" s="181"/>
      <c r="LLV143" s="181"/>
      <c r="LLW143" s="181"/>
      <c r="LLX143" s="181"/>
      <c r="LLY143" s="181"/>
      <c r="LLZ143" s="181"/>
      <c r="LMA143" s="181"/>
      <c r="LMB143" s="181"/>
      <c r="LMC143" s="181"/>
      <c r="LMD143" s="181"/>
      <c r="LME143" s="181"/>
      <c r="LMF143" s="181"/>
      <c r="LMG143" s="181"/>
      <c r="LMH143" s="181"/>
      <c r="LMI143" s="181"/>
      <c r="LMJ143" s="181"/>
      <c r="LMK143" s="181"/>
      <c r="LML143" s="181"/>
      <c r="LMM143" s="181"/>
      <c r="LMN143" s="181"/>
      <c r="LMO143" s="181"/>
      <c r="LMP143" s="181"/>
      <c r="LMQ143" s="181"/>
      <c r="LMR143" s="181"/>
      <c r="LMS143" s="181"/>
      <c r="LMT143" s="181"/>
      <c r="LMU143" s="181"/>
      <c r="LMV143" s="181"/>
      <c r="LMW143" s="181"/>
      <c r="LMX143" s="181"/>
      <c r="LMY143" s="181"/>
      <c r="LMZ143" s="181"/>
      <c r="LNA143" s="181"/>
      <c r="LNB143" s="181"/>
      <c r="LNC143" s="181"/>
      <c r="LND143" s="181"/>
      <c r="LNE143" s="181"/>
      <c r="LNF143" s="181"/>
      <c r="LNG143" s="181"/>
      <c r="LNH143" s="181"/>
      <c r="LNI143" s="181"/>
      <c r="LNJ143" s="181"/>
      <c r="LNK143" s="181"/>
      <c r="LNL143" s="181"/>
      <c r="LNM143" s="181"/>
      <c r="LNN143" s="181"/>
      <c r="LNO143" s="181"/>
      <c r="LNP143" s="181"/>
      <c r="LNQ143" s="181"/>
      <c r="LNR143" s="181"/>
      <c r="LNS143" s="181"/>
      <c r="LNT143" s="181"/>
      <c r="LNU143" s="181"/>
      <c r="LNV143" s="181"/>
      <c r="LNW143" s="181"/>
      <c r="LNX143" s="181"/>
      <c r="LNY143" s="181"/>
      <c r="LNZ143" s="181"/>
      <c r="LOA143" s="181"/>
      <c r="LOB143" s="181"/>
      <c r="LOC143" s="181"/>
      <c r="LOD143" s="181"/>
      <c r="LOE143" s="181"/>
      <c r="LOF143" s="181"/>
      <c r="LOG143" s="181"/>
      <c r="LOH143" s="181"/>
      <c r="LOI143" s="181"/>
      <c r="LOJ143" s="181"/>
      <c r="LOK143" s="181"/>
      <c r="LOL143" s="181"/>
      <c r="LOM143" s="181"/>
      <c r="LON143" s="181"/>
      <c r="LOO143" s="181"/>
      <c r="LOP143" s="181"/>
      <c r="LOQ143" s="181"/>
      <c r="LOR143" s="181"/>
      <c r="LOS143" s="181"/>
      <c r="LOT143" s="181"/>
      <c r="LOU143" s="181"/>
      <c r="LOV143" s="181"/>
      <c r="LOW143" s="181"/>
      <c r="LOX143" s="181"/>
      <c r="LOY143" s="181"/>
      <c r="LOZ143" s="181"/>
      <c r="LPA143" s="181"/>
      <c r="LPB143" s="181"/>
      <c r="LPC143" s="181"/>
      <c r="LPD143" s="181"/>
      <c r="LPE143" s="181"/>
      <c r="LPF143" s="181"/>
      <c r="LPG143" s="181"/>
      <c r="LPH143" s="181"/>
      <c r="LPI143" s="181"/>
      <c r="LPJ143" s="181"/>
      <c r="LPK143" s="181"/>
      <c r="LPL143" s="181"/>
      <c r="LPM143" s="181"/>
      <c r="LPN143" s="181"/>
      <c r="LPO143" s="181"/>
      <c r="LPP143" s="181"/>
      <c r="LPQ143" s="181"/>
      <c r="LPR143" s="181"/>
      <c r="LPS143" s="181"/>
      <c r="LPT143" s="181"/>
      <c r="LPU143" s="181"/>
      <c r="LPV143" s="181"/>
      <c r="LPW143" s="181"/>
      <c r="LPX143" s="181"/>
      <c r="LPY143" s="181"/>
      <c r="LPZ143" s="181"/>
      <c r="LQA143" s="181"/>
      <c r="LQB143" s="181"/>
      <c r="LQC143" s="181"/>
      <c r="LQD143" s="181"/>
      <c r="LQE143" s="181"/>
      <c r="LQF143" s="181"/>
      <c r="LQG143" s="181"/>
      <c r="LQH143" s="181"/>
      <c r="LQI143" s="181"/>
      <c r="LQJ143" s="181"/>
      <c r="LQK143" s="181"/>
      <c r="LQL143" s="181"/>
      <c r="LQM143" s="181"/>
      <c r="LQN143" s="181"/>
      <c r="LQO143" s="181"/>
      <c r="LQP143" s="181"/>
      <c r="LQQ143" s="181"/>
      <c r="LQR143" s="181"/>
      <c r="LQS143" s="181"/>
      <c r="LQT143" s="181"/>
      <c r="LQU143" s="181"/>
      <c r="LQV143" s="181"/>
      <c r="LQW143" s="181"/>
      <c r="LQX143" s="181"/>
      <c r="LQY143" s="181"/>
      <c r="LQZ143" s="181"/>
      <c r="LRA143" s="181"/>
      <c r="LRB143" s="181"/>
      <c r="LRC143" s="181"/>
      <c r="LRD143" s="181"/>
      <c r="LRE143" s="181"/>
      <c r="LRF143" s="181"/>
      <c r="LRG143" s="181"/>
      <c r="LRH143" s="181"/>
      <c r="LRI143" s="181"/>
      <c r="LRJ143" s="181"/>
      <c r="LRK143" s="181"/>
      <c r="LRL143" s="181"/>
      <c r="LRM143" s="181"/>
      <c r="LRN143" s="181"/>
      <c r="LRO143" s="181"/>
      <c r="LRP143" s="181"/>
      <c r="LRQ143" s="181"/>
      <c r="LRR143" s="181"/>
      <c r="LRS143" s="181"/>
      <c r="LRT143" s="181"/>
      <c r="LRU143" s="181"/>
      <c r="LRV143" s="181"/>
      <c r="LRW143" s="181"/>
      <c r="LRX143" s="181"/>
      <c r="LRY143" s="181"/>
      <c r="LRZ143" s="181"/>
      <c r="LSA143" s="181"/>
      <c r="LSB143" s="181"/>
      <c r="LSC143" s="181"/>
      <c r="LSD143" s="181"/>
      <c r="LSE143" s="181"/>
      <c r="LSF143" s="181"/>
      <c r="LSG143" s="181"/>
      <c r="LSH143" s="181"/>
      <c r="LSI143" s="181"/>
      <c r="LSJ143" s="181"/>
      <c r="LSK143" s="181"/>
      <c r="LSL143" s="181"/>
      <c r="LSM143" s="181"/>
      <c r="LSN143" s="181"/>
      <c r="LSO143" s="181"/>
      <c r="LSP143" s="181"/>
      <c r="LSQ143" s="181"/>
      <c r="LSR143" s="181"/>
      <c r="LSS143" s="181"/>
      <c r="LST143" s="181"/>
      <c r="LSU143" s="181"/>
      <c r="LSV143" s="181"/>
      <c r="LSW143" s="181"/>
      <c r="LSX143" s="181"/>
      <c r="LSY143" s="181"/>
      <c r="LSZ143" s="181"/>
      <c r="LTA143" s="181"/>
      <c r="LTB143" s="181"/>
      <c r="LTC143" s="181"/>
      <c r="LTD143" s="181"/>
      <c r="LTE143" s="181"/>
      <c r="LTF143" s="181"/>
      <c r="LTG143" s="181"/>
      <c r="LTH143" s="181"/>
      <c r="LTI143" s="181"/>
      <c r="LTJ143" s="181"/>
      <c r="LTK143" s="181"/>
      <c r="LTL143" s="181"/>
      <c r="LTM143" s="181"/>
      <c r="LTN143" s="181"/>
      <c r="LTO143" s="181"/>
      <c r="LTP143" s="181"/>
      <c r="LTQ143" s="181"/>
      <c r="LTR143" s="181"/>
      <c r="LTS143" s="181"/>
      <c r="LTT143" s="181"/>
      <c r="LTU143" s="181"/>
      <c r="LTV143" s="181"/>
      <c r="LTW143" s="181"/>
      <c r="LTX143" s="181"/>
      <c r="LTY143" s="181"/>
      <c r="LTZ143" s="181"/>
      <c r="LUA143" s="181"/>
      <c r="LUB143" s="181"/>
      <c r="LUC143" s="181"/>
      <c r="LUD143" s="181"/>
      <c r="LUE143" s="181"/>
      <c r="LUF143" s="181"/>
      <c r="LUG143" s="181"/>
      <c r="LUH143" s="181"/>
      <c r="LUI143" s="181"/>
      <c r="LUJ143" s="181"/>
      <c r="LUK143" s="181"/>
      <c r="LUL143" s="181"/>
      <c r="LUM143" s="181"/>
      <c r="LUN143" s="181"/>
      <c r="LUO143" s="181"/>
      <c r="LUP143" s="181"/>
      <c r="LUQ143" s="181"/>
      <c r="LUR143" s="181"/>
      <c r="LUS143" s="181"/>
      <c r="LUT143" s="181"/>
      <c r="LUU143" s="181"/>
      <c r="LUV143" s="181"/>
      <c r="LUW143" s="181"/>
      <c r="LUX143" s="181"/>
      <c r="LUY143" s="181"/>
      <c r="LUZ143" s="181"/>
      <c r="LVA143" s="181"/>
      <c r="LVB143" s="181"/>
      <c r="LVC143" s="181"/>
      <c r="LVD143" s="181"/>
      <c r="LVE143" s="181"/>
      <c r="LVF143" s="181"/>
      <c r="LVG143" s="181"/>
      <c r="LVH143" s="181"/>
      <c r="LVI143" s="181"/>
      <c r="LVJ143" s="181"/>
      <c r="LVK143" s="181"/>
      <c r="LVL143" s="181"/>
      <c r="LVM143" s="181"/>
      <c r="LVN143" s="181"/>
      <c r="LVO143" s="181"/>
      <c r="LVP143" s="181"/>
      <c r="LVQ143" s="181"/>
      <c r="LVR143" s="181"/>
      <c r="LVS143" s="181"/>
      <c r="LVT143" s="181"/>
      <c r="LVU143" s="181"/>
      <c r="LVV143" s="181"/>
      <c r="LVW143" s="181"/>
      <c r="LVX143" s="181"/>
      <c r="LVY143" s="181"/>
      <c r="LVZ143" s="181"/>
      <c r="LWA143" s="181"/>
      <c r="LWB143" s="181"/>
      <c r="LWC143" s="181"/>
      <c r="LWD143" s="181"/>
      <c r="LWE143" s="181"/>
      <c r="LWF143" s="181"/>
      <c r="LWG143" s="181"/>
      <c r="LWH143" s="181"/>
      <c r="LWI143" s="181"/>
      <c r="LWJ143" s="181"/>
      <c r="LWK143" s="181"/>
      <c r="LWL143" s="181"/>
      <c r="LWM143" s="181"/>
      <c r="LWN143" s="181"/>
      <c r="LWO143" s="181"/>
      <c r="LWP143" s="181"/>
      <c r="LWQ143" s="181"/>
      <c r="LWR143" s="181"/>
      <c r="LWS143" s="181"/>
      <c r="LWT143" s="181"/>
      <c r="LWU143" s="181"/>
      <c r="LWV143" s="181"/>
      <c r="LWW143" s="181"/>
      <c r="LWX143" s="181"/>
      <c r="LWY143" s="181"/>
      <c r="LWZ143" s="181"/>
      <c r="LXA143" s="181"/>
      <c r="LXB143" s="181"/>
      <c r="LXC143" s="181"/>
      <c r="LXD143" s="181"/>
      <c r="LXE143" s="181"/>
      <c r="LXF143" s="181"/>
      <c r="LXG143" s="181"/>
      <c r="LXH143" s="181"/>
      <c r="LXI143" s="181"/>
      <c r="LXJ143" s="181"/>
      <c r="LXK143" s="181"/>
      <c r="LXL143" s="181"/>
      <c r="LXM143" s="181"/>
      <c r="LXN143" s="181"/>
      <c r="LXO143" s="181"/>
      <c r="LXP143" s="181"/>
      <c r="LXQ143" s="181"/>
      <c r="LXR143" s="181"/>
      <c r="LXS143" s="181"/>
      <c r="LXT143" s="181"/>
      <c r="LXU143" s="181"/>
      <c r="LXV143" s="181"/>
      <c r="LXW143" s="181"/>
      <c r="LXX143" s="181"/>
      <c r="LXY143" s="181"/>
      <c r="LXZ143" s="181"/>
      <c r="LYA143" s="181"/>
      <c r="LYB143" s="181"/>
      <c r="LYC143" s="181"/>
      <c r="LYD143" s="181"/>
      <c r="LYE143" s="181"/>
      <c r="LYF143" s="181"/>
      <c r="LYG143" s="181"/>
      <c r="LYH143" s="181"/>
      <c r="LYI143" s="181"/>
      <c r="LYJ143" s="181"/>
      <c r="LYK143" s="181"/>
      <c r="LYL143" s="181"/>
      <c r="LYM143" s="181"/>
      <c r="LYN143" s="181"/>
      <c r="LYO143" s="181"/>
      <c r="LYP143" s="181"/>
      <c r="LYQ143" s="181"/>
      <c r="LYR143" s="181"/>
      <c r="LYS143" s="181"/>
      <c r="LYT143" s="181"/>
      <c r="LYU143" s="181"/>
      <c r="LYV143" s="181"/>
      <c r="LYW143" s="181"/>
      <c r="LYX143" s="181"/>
      <c r="LYY143" s="181"/>
      <c r="LYZ143" s="181"/>
      <c r="LZA143" s="181"/>
      <c r="LZB143" s="181"/>
      <c r="LZC143" s="181"/>
      <c r="LZD143" s="181"/>
      <c r="LZE143" s="181"/>
      <c r="LZF143" s="181"/>
      <c r="LZG143" s="181"/>
      <c r="LZH143" s="181"/>
      <c r="LZI143" s="181"/>
      <c r="LZJ143" s="181"/>
      <c r="LZK143" s="181"/>
      <c r="LZL143" s="181"/>
      <c r="LZM143" s="181"/>
      <c r="LZN143" s="181"/>
      <c r="LZO143" s="181"/>
      <c r="LZP143" s="181"/>
      <c r="LZQ143" s="181"/>
      <c r="LZR143" s="181"/>
      <c r="LZS143" s="181"/>
      <c r="LZT143" s="181"/>
      <c r="LZU143" s="181"/>
      <c r="LZV143" s="181"/>
      <c r="LZW143" s="181"/>
      <c r="LZX143" s="181"/>
      <c r="LZY143" s="181"/>
      <c r="LZZ143" s="181"/>
      <c r="MAA143" s="181"/>
      <c r="MAB143" s="181"/>
      <c r="MAC143" s="181"/>
      <c r="MAD143" s="181"/>
      <c r="MAE143" s="181"/>
      <c r="MAF143" s="181"/>
      <c r="MAG143" s="181"/>
      <c r="MAH143" s="181"/>
      <c r="MAI143" s="181"/>
      <c r="MAJ143" s="181"/>
      <c r="MAK143" s="181"/>
      <c r="MAL143" s="181"/>
      <c r="MAM143" s="181"/>
      <c r="MAN143" s="181"/>
      <c r="MAO143" s="181"/>
      <c r="MAP143" s="181"/>
      <c r="MAQ143" s="181"/>
      <c r="MAR143" s="181"/>
      <c r="MAS143" s="181"/>
      <c r="MAT143" s="181"/>
      <c r="MAU143" s="181"/>
      <c r="MAV143" s="181"/>
      <c r="MAW143" s="181"/>
      <c r="MAX143" s="181"/>
      <c r="MAY143" s="181"/>
      <c r="MAZ143" s="181"/>
      <c r="MBA143" s="181"/>
      <c r="MBB143" s="181"/>
      <c r="MBC143" s="181"/>
      <c r="MBD143" s="181"/>
      <c r="MBE143" s="181"/>
      <c r="MBF143" s="181"/>
      <c r="MBG143" s="181"/>
      <c r="MBH143" s="181"/>
      <c r="MBI143" s="181"/>
      <c r="MBJ143" s="181"/>
      <c r="MBK143" s="181"/>
      <c r="MBL143" s="181"/>
      <c r="MBM143" s="181"/>
      <c r="MBN143" s="181"/>
      <c r="MBO143" s="181"/>
      <c r="MBP143" s="181"/>
      <c r="MBQ143" s="181"/>
      <c r="MBR143" s="181"/>
      <c r="MBS143" s="181"/>
      <c r="MBT143" s="181"/>
      <c r="MBU143" s="181"/>
      <c r="MBV143" s="181"/>
      <c r="MBW143" s="181"/>
      <c r="MBX143" s="181"/>
      <c r="MBY143" s="181"/>
      <c r="MBZ143" s="181"/>
      <c r="MCA143" s="181"/>
      <c r="MCB143" s="181"/>
      <c r="MCC143" s="181"/>
      <c r="MCD143" s="181"/>
      <c r="MCE143" s="181"/>
      <c r="MCF143" s="181"/>
      <c r="MCG143" s="181"/>
      <c r="MCH143" s="181"/>
      <c r="MCI143" s="181"/>
      <c r="MCJ143" s="181"/>
      <c r="MCK143" s="181"/>
      <c r="MCL143" s="181"/>
      <c r="MCM143" s="181"/>
      <c r="MCN143" s="181"/>
      <c r="MCO143" s="181"/>
      <c r="MCP143" s="181"/>
      <c r="MCQ143" s="181"/>
      <c r="MCR143" s="181"/>
      <c r="MCS143" s="181"/>
      <c r="MCT143" s="181"/>
      <c r="MCU143" s="181"/>
      <c r="MCV143" s="181"/>
      <c r="MCW143" s="181"/>
      <c r="MCX143" s="181"/>
      <c r="MCY143" s="181"/>
      <c r="MCZ143" s="181"/>
      <c r="MDA143" s="181"/>
      <c r="MDB143" s="181"/>
      <c r="MDC143" s="181"/>
      <c r="MDD143" s="181"/>
      <c r="MDE143" s="181"/>
      <c r="MDF143" s="181"/>
      <c r="MDG143" s="181"/>
      <c r="MDH143" s="181"/>
      <c r="MDI143" s="181"/>
      <c r="MDJ143" s="181"/>
      <c r="MDK143" s="181"/>
      <c r="MDL143" s="181"/>
      <c r="MDM143" s="181"/>
      <c r="MDN143" s="181"/>
      <c r="MDO143" s="181"/>
      <c r="MDP143" s="181"/>
      <c r="MDQ143" s="181"/>
      <c r="MDR143" s="181"/>
      <c r="MDS143" s="181"/>
      <c r="MDT143" s="181"/>
      <c r="MDU143" s="181"/>
      <c r="MDV143" s="181"/>
      <c r="MDW143" s="181"/>
      <c r="MDX143" s="181"/>
      <c r="MDY143" s="181"/>
      <c r="MDZ143" s="181"/>
      <c r="MEA143" s="181"/>
      <c r="MEB143" s="181"/>
      <c r="MEC143" s="181"/>
      <c r="MED143" s="181"/>
      <c r="MEE143" s="181"/>
      <c r="MEF143" s="181"/>
      <c r="MEG143" s="181"/>
      <c r="MEH143" s="181"/>
      <c r="MEI143" s="181"/>
      <c r="MEJ143" s="181"/>
      <c r="MEK143" s="181"/>
      <c r="MEL143" s="181"/>
      <c r="MEM143" s="181"/>
      <c r="MEN143" s="181"/>
      <c r="MEO143" s="181"/>
      <c r="MEP143" s="181"/>
      <c r="MEQ143" s="181"/>
      <c r="MER143" s="181"/>
      <c r="MES143" s="181"/>
      <c r="MET143" s="181"/>
      <c r="MEU143" s="181"/>
      <c r="MEV143" s="181"/>
      <c r="MEW143" s="181"/>
      <c r="MEX143" s="181"/>
      <c r="MEY143" s="181"/>
      <c r="MEZ143" s="181"/>
      <c r="MFA143" s="181"/>
      <c r="MFB143" s="181"/>
      <c r="MFC143" s="181"/>
      <c r="MFD143" s="181"/>
      <c r="MFE143" s="181"/>
      <c r="MFF143" s="181"/>
      <c r="MFG143" s="181"/>
      <c r="MFH143" s="181"/>
      <c r="MFI143" s="181"/>
      <c r="MFJ143" s="181"/>
      <c r="MFK143" s="181"/>
      <c r="MFL143" s="181"/>
      <c r="MFM143" s="181"/>
      <c r="MFN143" s="181"/>
      <c r="MFO143" s="181"/>
      <c r="MFP143" s="181"/>
      <c r="MFQ143" s="181"/>
      <c r="MFR143" s="181"/>
      <c r="MFS143" s="181"/>
      <c r="MFT143" s="181"/>
      <c r="MFU143" s="181"/>
      <c r="MFV143" s="181"/>
      <c r="MFW143" s="181"/>
      <c r="MFX143" s="181"/>
      <c r="MFY143" s="181"/>
      <c r="MFZ143" s="181"/>
      <c r="MGA143" s="181"/>
      <c r="MGB143" s="181"/>
      <c r="MGC143" s="181"/>
      <c r="MGD143" s="181"/>
      <c r="MGE143" s="181"/>
      <c r="MGF143" s="181"/>
      <c r="MGG143" s="181"/>
      <c r="MGH143" s="181"/>
      <c r="MGI143" s="181"/>
      <c r="MGJ143" s="181"/>
      <c r="MGK143" s="181"/>
      <c r="MGL143" s="181"/>
      <c r="MGM143" s="181"/>
      <c r="MGN143" s="181"/>
      <c r="MGO143" s="181"/>
      <c r="MGP143" s="181"/>
      <c r="MGQ143" s="181"/>
      <c r="MGR143" s="181"/>
      <c r="MGS143" s="181"/>
      <c r="MGT143" s="181"/>
      <c r="MGU143" s="181"/>
      <c r="MGV143" s="181"/>
      <c r="MGW143" s="181"/>
      <c r="MGX143" s="181"/>
      <c r="MGY143" s="181"/>
      <c r="MGZ143" s="181"/>
      <c r="MHA143" s="181"/>
      <c r="MHB143" s="181"/>
      <c r="MHC143" s="181"/>
      <c r="MHD143" s="181"/>
      <c r="MHE143" s="181"/>
      <c r="MHF143" s="181"/>
      <c r="MHG143" s="181"/>
      <c r="MHH143" s="181"/>
      <c r="MHI143" s="181"/>
      <c r="MHJ143" s="181"/>
      <c r="MHK143" s="181"/>
      <c r="MHL143" s="181"/>
      <c r="MHM143" s="181"/>
      <c r="MHN143" s="181"/>
      <c r="MHO143" s="181"/>
      <c r="MHP143" s="181"/>
      <c r="MHQ143" s="181"/>
      <c r="MHR143" s="181"/>
      <c r="MHS143" s="181"/>
      <c r="MHT143" s="181"/>
      <c r="MHU143" s="181"/>
      <c r="MHV143" s="181"/>
      <c r="MHW143" s="181"/>
      <c r="MHX143" s="181"/>
      <c r="MHY143" s="181"/>
      <c r="MHZ143" s="181"/>
      <c r="MIA143" s="181"/>
      <c r="MIB143" s="181"/>
      <c r="MIC143" s="181"/>
      <c r="MID143" s="181"/>
      <c r="MIE143" s="181"/>
      <c r="MIF143" s="181"/>
      <c r="MIG143" s="181"/>
      <c r="MIH143" s="181"/>
      <c r="MII143" s="181"/>
      <c r="MIJ143" s="181"/>
      <c r="MIK143" s="181"/>
      <c r="MIL143" s="181"/>
      <c r="MIM143" s="181"/>
      <c r="MIN143" s="181"/>
      <c r="MIO143" s="181"/>
      <c r="MIP143" s="181"/>
      <c r="MIQ143" s="181"/>
      <c r="MIR143" s="181"/>
      <c r="MIS143" s="181"/>
      <c r="MIT143" s="181"/>
      <c r="MIU143" s="181"/>
      <c r="MIV143" s="181"/>
      <c r="MIW143" s="181"/>
      <c r="MIX143" s="181"/>
      <c r="MIY143" s="181"/>
      <c r="MIZ143" s="181"/>
      <c r="MJA143" s="181"/>
      <c r="MJB143" s="181"/>
      <c r="MJC143" s="181"/>
      <c r="MJD143" s="181"/>
      <c r="MJE143" s="181"/>
      <c r="MJF143" s="181"/>
      <c r="MJG143" s="181"/>
      <c r="MJH143" s="181"/>
      <c r="MJI143" s="181"/>
      <c r="MJJ143" s="181"/>
      <c r="MJK143" s="181"/>
      <c r="MJL143" s="181"/>
      <c r="MJM143" s="181"/>
      <c r="MJN143" s="181"/>
      <c r="MJO143" s="181"/>
      <c r="MJP143" s="181"/>
      <c r="MJQ143" s="181"/>
      <c r="MJR143" s="181"/>
      <c r="MJS143" s="181"/>
      <c r="MJT143" s="181"/>
      <c r="MJU143" s="181"/>
      <c r="MJV143" s="181"/>
      <c r="MJW143" s="181"/>
      <c r="MJX143" s="181"/>
      <c r="MJY143" s="181"/>
      <c r="MJZ143" s="181"/>
      <c r="MKA143" s="181"/>
      <c r="MKB143" s="181"/>
      <c r="MKC143" s="181"/>
      <c r="MKD143" s="181"/>
      <c r="MKE143" s="181"/>
      <c r="MKF143" s="181"/>
      <c r="MKG143" s="181"/>
      <c r="MKH143" s="181"/>
      <c r="MKI143" s="181"/>
      <c r="MKJ143" s="181"/>
      <c r="MKK143" s="181"/>
      <c r="MKL143" s="181"/>
      <c r="MKM143" s="181"/>
      <c r="MKN143" s="181"/>
      <c r="MKO143" s="181"/>
      <c r="MKP143" s="181"/>
      <c r="MKQ143" s="181"/>
      <c r="MKR143" s="181"/>
      <c r="MKS143" s="181"/>
      <c r="MKT143" s="181"/>
      <c r="MKU143" s="181"/>
      <c r="MKV143" s="181"/>
      <c r="MKW143" s="181"/>
      <c r="MKX143" s="181"/>
      <c r="MKY143" s="181"/>
      <c r="MKZ143" s="181"/>
      <c r="MLA143" s="181"/>
      <c r="MLB143" s="181"/>
      <c r="MLC143" s="181"/>
      <c r="MLD143" s="181"/>
      <c r="MLE143" s="181"/>
      <c r="MLF143" s="181"/>
      <c r="MLG143" s="181"/>
      <c r="MLH143" s="181"/>
      <c r="MLI143" s="181"/>
      <c r="MLJ143" s="181"/>
      <c r="MLK143" s="181"/>
      <c r="MLL143" s="181"/>
      <c r="MLM143" s="181"/>
      <c r="MLN143" s="181"/>
      <c r="MLO143" s="181"/>
      <c r="MLP143" s="181"/>
      <c r="MLQ143" s="181"/>
      <c r="MLR143" s="181"/>
      <c r="MLS143" s="181"/>
      <c r="MLT143" s="181"/>
      <c r="MLU143" s="181"/>
      <c r="MLV143" s="181"/>
      <c r="MLW143" s="181"/>
      <c r="MLX143" s="181"/>
      <c r="MLY143" s="181"/>
      <c r="MLZ143" s="181"/>
      <c r="MMA143" s="181"/>
      <c r="MMB143" s="181"/>
      <c r="MMC143" s="181"/>
      <c r="MMD143" s="181"/>
      <c r="MME143" s="181"/>
      <c r="MMF143" s="181"/>
      <c r="MMG143" s="181"/>
      <c r="MMH143" s="181"/>
      <c r="MMI143" s="181"/>
      <c r="MMJ143" s="181"/>
      <c r="MMK143" s="181"/>
      <c r="MML143" s="181"/>
      <c r="MMM143" s="181"/>
      <c r="MMN143" s="181"/>
      <c r="MMO143" s="181"/>
      <c r="MMP143" s="181"/>
      <c r="MMQ143" s="181"/>
      <c r="MMR143" s="181"/>
      <c r="MMS143" s="181"/>
      <c r="MMT143" s="181"/>
      <c r="MMU143" s="181"/>
      <c r="MMV143" s="181"/>
      <c r="MMW143" s="181"/>
      <c r="MMX143" s="181"/>
      <c r="MMY143" s="181"/>
      <c r="MMZ143" s="181"/>
      <c r="MNA143" s="181"/>
      <c r="MNB143" s="181"/>
      <c r="MNC143" s="181"/>
      <c r="MND143" s="181"/>
      <c r="MNE143" s="181"/>
      <c r="MNF143" s="181"/>
      <c r="MNG143" s="181"/>
      <c r="MNH143" s="181"/>
      <c r="MNI143" s="181"/>
      <c r="MNJ143" s="181"/>
      <c r="MNK143" s="181"/>
      <c r="MNL143" s="181"/>
      <c r="MNM143" s="181"/>
      <c r="MNN143" s="181"/>
      <c r="MNO143" s="181"/>
      <c r="MNP143" s="181"/>
      <c r="MNQ143" s="181"/>
      <c r="MNR143" s="181"/>
      <c r="MNS143" s="181"/>
      <c r="MNT143" s="181"/>
      <c r="MNU143" s="181"/>
      <c r="MNV143" s="181"/>
      <c r="MNW143" s="181"/>
      <c r="MNX143" s="181"/>
      <c r="MNY143" s="181"/>
      <c r="MNZ143" s="181"/>
      <c r="MOA143" s="181"/>
      <c r="MOB143" s="181"/>
      <c r="MOC143" s="181"/>
      <c r="MOD143" s="181"/>
      <c r="MOE143" s="181"/>
      <c r="MOF143" s="181"/>
      <c r="MOG143" s="181"/>
      <c r="MOH143" s="181"/>
      <c r="MOI143" s="181"/>
      <c r="MOJ143" s="181"/>
      <c r="MOK143" s="181"/>
      <c r="MOL143" s="181"/>
      <c r="MOM143" s="181"/>
      <c r="MON143" s="181"/>
      <c r="MOO143" s="181"/>
      <c r="MOP143" s="181"/>
      <c r="MOQ143" s="181"/>
      <c r="MOR143" s="181"/>
      <c r="MOS143" s="181"/>
      <c r="MOT143" s="181"/>
      <c r="MOU143" s="181"/>
      <c r="MOV143" s="181"/>
      <c r="MOW143" s="181"/>
      <c r="MOX143" s="181"/>
      <c r="MOY143" s="181"/>
      <c r="MOZ143" s="181"/>
      <c r="MPA143" s="181"/>
      <c r="MPB143" s="181"/>
      <c r="MPC143" s="181"/>
      <c r="MPD143" s="181"/>
      <c r="MPE143" s="181"/>
      <c r="MPF143" s="181"/>
      <c r="MPG143" s="181"/>
      <c r="MPH143" s="181"/>
      <c r="MPI143" s="181"/>
      <c r="MPJ143" s="181"/>
      <c r="MPK143" s="181"/>
      <c r="MPL143" s="181"/>
      <c r="MPM143" s="181"/>
      <c r="MPN143" s="181"/>
      <c r="MPO143" s="181"/>
      <c r="MPP143" s="181"/>
      <c r="MPQ143" s="181"/>
      <c r="MPR143" s="181"/>
      <c r="MPS143" s="181"/>
      <c r="MPT143" s="181"/>
      <c r="MPU143" s="181"/>
      <c r="MPV143" s="181"/>
      <c r="MPW143" s="181"/>
      <c r="MPX143" s="181"/>
      <c r="MPY143" s="181"/>
      <c r="MPZ143" s="181"/>
      <c r="MQA143" s="181"/>
      <c r="MQB143" s="181"/>
      <c r="MQC143" s="181"/>
      <c r="MQD143" s="181"/>
      <c r="MQE143" s="181"/>
      <c r="MQF143" s="181"/>
      <c r="MQG143" s="181"/>
      <c r="MQH143" s="181"/>
      <c r="MQI143" s="181"/>
      <c r="MQJ143" s="181"/>
      <c r="MQK143" s="181"/>
      <c r="MQL143" s="181"/>
      <c r="MQM143" s="181"/>
      <c r="MQN143" s="181"/>
      <c r="MQO143" s="181"/>
      <c r="MQP143" s="181"/>
      <c r="MQQ143" s="181"/>
      <c r="MQR143" s="181"/>
      <c r="MQS143" s="181"/>
      <c r="MQT143" s="181"/>
      <c r="MQU143" s="181"/>
      <c r="MQV143" s="181"/>
      <c r="MQW143" s="181"/>
      <c r="MQX143" s="181"/>
      <c r="MQY143" s="181"/>
      <c r="MQZ143" s="181"/>
      <c r="MRA143" s="181"/>
      <c r="MRB143" s="181"/>
      <c r="MRC143" s="181"/>
      <c r="MRD143" s="181"/>
      <c r="MRE143" s="181"/>
      <c r="MRF143" s="181"/>
      <c r="MRG143" s="181"/>
      <c r="MRH143" s="181"/>
      <c r="MRI143" s="181"/>
      <c r="MRJ143" s="181"/>
      <c r="MRK143" s="181"/>
      <c r="MRL143" s="181"/>
      <c r="MRM143" s="181"/>
      <c r="MRN143" s="181"/>
      <c r="MRO143" s="181"/>
      <c r="MRP143" s="181"/>
      <c r="MRQ143" s="181"/>
      <c r="MRR143" s="181"/>
      <c r="MRS143" s="181"/>
      <c r="MRT143" s="181"/>
      <c r="MRU143" s="181"/>
      <c r="MRV143" s="181"/>
      <c r="MRW143" s="181"/>
      <c r="MRX143" s="181"/>
      <c r="MRY143" s="181"/>
      <c r="MRZ143" s="181"/>
      <c r="MSA143" s="181"/>
      <c r="MSB143" s="181"/>
      <c r="MSC143" s="181"/>
      <c r="MSD143" s="181"/>
      <c r="MSE143" s="181"/>
      <c r="MSF143" s="181"/>
      <c r="MSG143" s="181"/>
      <c r="MSH143" s="181"/>
      <c r="MSI143" s="181"/>
      <c r="MSJ143" s="181"/>
      <c r="MSK143" s="181"/>
      <c r="MSL143" s="181"/>
      <c r="MSM143" s="181"/>
      <c r="MSN143" s="181"/>
      <c r="MSO143" s="181"/>
      <c r="MSP143" s="181"/>
      <c r="MSQ143" s="181"/>
      <c r="MSR143" s="181"/>
      <c r="MSS143" s="181"/>
      <c r="MST143" s="181"/>
      <c r="MSU143" s="181"/>
      <c r="MSV143" s="181"/>
      <c r="MSW143" s="181"/>
      <c r="MSX143" s="181"/>
      <c r="MSY143" s="181"/>
      <c r="MSZ143" s="181"/>
      <c r="MTA143" s="181"/>
      <c r="MTB143" s="181"/>
      <c r="MTC143" s="181"/>
      <c r="MTD143" s="181"/>
      <c r="MTE143" s="181"/>
      <c r="MTF143" s="181"/>
      <c r="MTG143" s="181"/>
      <c r="MTH143" s="181"/>
      <c r="MTI143" s="181"/>
      <c r="MTJ143" s="181"/>
      <c r="MTK143" s="181"/>
      <c r="MTL143" s="181"/>
      <c r="MTM143" s="181"/>
      <c r="MTN143" s="181"/>
      <c r="MTO143" s="181"/>
      <c r="MTP143" s="181"/>
      <c r="MTQ143" s="181"/>
      <c r="MTR143" s="181"/>
      <c r="MTS143" s="181"/>
      <c r="MTT143" s="181"/>
      <c r="MTU143" s="181"/>
      <c r="MTV143" s="181"/>
      <c r="MTW143" s="181"/>
      <c r="MTX143" s="181"/>
      <c r="MTY143" s="181"/>
      <c r="MTZ143" s="181"/>
      <c r="MUA143" s="181"/>
      <c r="MUB143" s="181"/>
      <c r="MUC143" s="181"/>
      <c r="MUD143" s="181"/>
      <c r="MUE143" s="181"/>
      <c r="MUF143" s="181"/>
      <c r="MUG143" s="181"/>
      <c r="MUH143" s="181"/>
      <c r="MUI143" s="181"/>
      <c r="MUJ143" s="181"/>
      <c r="MUK143" s="181"/>
      <c r="MUL143" s="181"/>
      <c r="MUM143" s="181"/>
      <c r="MUN143" s="181"/>
      <c r="MUO143" s="181"/>
      <c r="MUP143" s="181"/>
      <c r="MUQ143" s="181"/>
      <c r="MUR143" s="181"/>
      <c r="MUS143" s="181"/>
      <c r="MUT143" s="181"/>
      <c r="MUU143" s="181"/>
      <c r="MUV143" s="181"/>
      <c r="MUW143" s="181"/>
      <c r="MUX143" s="181"/>
      <c r="MUY143" s="181"/>
      <c r="MUZ143" s="181"/>
      <c r="MVA143" s="181"/>
      <c r="MVB143" s="181"/>
      <c r="MVC143" s="181"/>
      <c r="MVD143" s="181"/>
      <c r="MVE143" s="181"/>
      <c r="MVF143" s="181"/>
      <c r="MVG143" s="181"/>
      <c r="MVH143" s="181"/>
      <c r="MVI143" s="181"/>
      <c r="MVJ143" s="181"/>
      <c r="MVK143" s="181"/>
      <c r="MVL143" s="181"/>
      <c r="MVM143" s="181"/>
      <c r="MVN143" s="181"/>
      <c r="MVO143" s="181"/>
      <c r="MVP143" s="181"/>
      <c r="MVQ143" s="181"/>
      <c r="MVR143" s="181"/>
      <c r="MVS143" s="181"/>
      <c r="MVT143" s="181"/>
      <c r="MVU143" s="181"/>
      <c r="MVV143" s="181"/>
      <c r="MVW143" s="181"/>
      <c r="MVX143" s="181"/>
      <c r="MVY143" s="181"/>
      <c r="MVZ143" s="181"/>
      <c r="MWA143" s="181"/>
      <c r="MWB143" s="181"/>
      <c r="MWC143" s="181"/>
      <c r="MWD143" s="181"/>
      <c r="MWE143" s="181"/>
      <c r="MWF143" s="181"/>
      <c r="MWG143" s="181"/>
      <c r="MWH143" s="181"/>
      <c r="MWI143" s="181"/>
      <c r="MWJ143" s="181"/>
      <c r="MWK143" s="181"/>
      <c r="MWL143" s="181"/>
      <c r="MWM143" s="181"/>
      <c r="MWN143" s="181"/>
      <c r="MWO143" s="181"/>
      <c r="MWP143" s="181"/>
      <c r="MWQ143" s="181"/>
      <c r="MWR143" s="181"/>
      <c r="MWS143" s="181"/>
      <c r="MWT143" s="181"/>
      <c r="MWU143" s="181"/>
      <c r="MWV143" s="181"/>
      <c r="MWW143" s="181"/>
      <c r="MWX143" s="181"/>
      <c r="MWY143" s="181"/>
      <c r="MWZ143" s="181"/>
      <c r="MXA143" s="181"/>
      <c r="MXB143" s="181"/>
      <c r="MXC143" s="181"/>
      <c r="MXD143" s="181"/>
      <c r="MXE143" s="181"/>
      <c r="MXF143" s="181"/>
      <c r="MXG143" s="181"/>
      <c r="MXH143" s="181"/>
      <c r="MXI143" s="181"/>
      <c r="MXJ143" s="181"/>
      <c r="MXK143" s="181"/>
      <c r="MXL143" s="181"/>
      <c r="MXM143" s="181"/>
      <c r="MXN143" s="181"/>
      <c r="MXO143" s="181"/>
      <c r="MXP143" s="181"/>
      <c r="MXQ143" s="181"/>
      <c r="MXR143" s="181"/>
      <c r="MXS143" s="181"/>
      <c r="MXT143" s="181"/>
      <c r="MXU143" s="181"/>
      <c r="MXV143" s="181"/>
      <c r="MXW143" s="181"/>
      <c r="MXX143" s="181"/>
      <c r="MXY143" s="181"/>
      <c r="MXZ143" s="181"/>
      <c r="MYA143" s="181"/>
      <c r="MYB143" s="181"/>
      <c r="MYC143" s="181"/>
      <c r="MYD143" s="181"/>
      <c r="MYE143" s="181"/>
      <c r="MYF143" s="181"/>
      <c r="MYG143" s="181"/>
      <c r="MYH143" s="181"/>
      <c r="MYI143" s="181"/>
      <c r="MYJ143" s="181"/>
      <c r="MYK143" s="181"/>
      <c r="MYL143" s="181"/>
      <c r="MYM143" s="181"/>
      <c r="MYN143" s="181"/>
      <c r="MYO143" s="181"/>
      <c r="MYP143" s="181"/>
      <c r="MYQ143" s="181"/>
      <c r="MYR143" s="181"/>
      <c r="MYS143" s="181"/>
      <c r="MYT143" s="181"/>
      <c r="MYU143" s="181"/>
      <c r="MYV143" s="181"/>
      <c r="MYW143" s="181"/>
      <c r="MYX143" s="181"/>
      <c r="MYY143" s="181"/>
      <c r="MYZ143" s="181"/>
      <c r="MZA143" s="181"/>
      <c r="MZB143" s="181"/>
      <c r="MZC143" s="181"/>
      <c r="MZD143" s="181"/>
      <c r="MZE143" s="181"/>
      <c r="MZF143" s="181"/>
      <c r="MZG143" s="181"/>
      <c r="MZH143" s="181"/>
      <c r="MZI143" s="181"/>
      <c r="MZJ143" s="181"/>
      <c r="MZK143" s="181"/>
      <c r="MZL143" s="181"/>
      <c r="MZM143" s="181"/>
      <c r="MZN143" s="181"/>
      <c r="MZO143" s="181"/>
      <c r="MZP143" s="181"/>
      <c r="MZQ143" s="181"/>
      <c r="MZR143" s="181"/>
      <c r="MZS143" s="181"/>
      <c r="MZT143" s="181"/>
      <c r="MZU143" s="181"/>
      <c r="MZV143" s="181"/>
      <c r="MZW143" s="181"/>
      <c r="MZX143" s="181"/>
      <c r="MZY143" s="181"/>
      <c r="MZZ143" s="181"/>
      <c r="NAA143" s="181"/>
      <c r="NAB143" s="181"/>
      <c r="NAC143" s="181"/>
      <c r="NAD143" s="181"/>
      <c r="NAE143" s="181"/>
      <c r="NAF143" s="181"/>
      <c r="NAG143" s="181"/>
      <c r="NAH143" s="181"/>
      <c r="NAI143" s="181"/>
      <c r="NAJ143" s="181"/>
      <c r="NAK143" s="181"/>
      <c r="NAL143" s="181"/>
      <c r="NAM143" s="181"/>
      <c r="NAN143" s="181"/>
      <c r="NAO143" s="181"/>
      <c r="NAP143" s="181"/>
      <c r="NAQ143" s="181"/>
      <c r="NAR143" s="181"/>
      <c r="NAS143" s="181"/>
      <c r="NAT143" s="181"/>
      <c r="NAU143" s="181"/>
      <c r="NAV143" s="181"/>
      <c r="NAW143" s="181"/>
      <c r="NAX143" s="181"/>
      <c r="NAY143" s="181"/>
      <c r="NAZ143" s="181"/>
      <c r="NBA143" s="181"/>
      <c r="NBB143" s="181"/>
      <c r="NBC143" s="181"/>
      <c r="NBD143" s="181"/>
      <c r="NBE143" s="181"/>
      <c r="NBF143" s="181"/>
      <c r="NBG143" s="181"/>
      <c r="NBH143" s="181"/>
      <c r="NBI143" s="181"/>
      <c r="NBJ143" s="181"/>
      <c r="NBK143" s="181"/>
      <c r="NBL143" s="181"/>
      <c r="NBM143" s="181"/>
      <c r="NBN143" s="181"/>
      <c r="NBO143" s="181"/>
      <c r="NBP143" s="181"/>
      <c r="NBQ143" s="181"/>
      <c r="NBR143" s="181"/>
      <c r="NBS143" s="181"/>
      <c r="NBT143" s="181"/>
      <c r="NBU143" s="181"/>
      <c r="NBV143" s="181"/>
      <c r="NBW143" s="181"/>
      <c r="NBX143" s="181"/>
      <c r="NBY143" s="181"/>
      <c r="NBZ143" s="181"/>
      <c r="NCA143" s="181"/>
      <c r="NCB143" s="181"/>
      <c r="NCC143" s="181"/>
      <c r="NCD143" s="181"/>
      <c r="NCE143" s="181"/>
      <c r="NCF143" s="181"/>
      <c r="NCG143" s="181"/>
      <c r="NCH143" s="181"/>
      <c r="NCI143" s="181"/>
      <c r="NCJ143" s="181"/>
      <c r="NCK143" s="181"/>
      <c r="NCL143" s="181"/>
      <c r="NCM143" s="181"/>
      <c r="NCN143" s="181"/>
      <c r="NCO143" s="181"/>
      <c r="NCP143" s="181"/>
      <c r="NCQ143" s="181"/>
      <c r="NCR143" s="181"/>
      <c r="NCS143" s="181"/>
      <c r="NCT143" s="181"/>
      <c r="NCU143" s="181"/>
      <c r="NCV143" s="181"/>
      <c r="NCW143" s="181"/>
      <c r="NCX143" s="181"/>
      <c r="NCY143" s="181"/>
      <c r="NCZ143" s="181"/>
      <c r="NDA143" s="181"/>
      <c r="NDB143" s="181"/>
      <c r="NDC143" s="181"/>
      <c r="NDD143" s="181"/>
      <c r="NDE143" s="181"/>
      <c r="NDF143" s="181"/>
      <c r="NDG143" s="181"/>
      <c r="NDH143" s="181"/>
      <c r="NDI143" s="181"/>
      <c r="NDJ143" s="181"/>
      <c r="NDK143" s="181"/>
      <c r="NDL143" s="181"/>
      <c r="NDM143" s="181"/>
      <c r="NDN143" s="181"/>
      <c r="NDO143" s="181"/>
      <c r="NDP143" s="181"/>
      <c r="NDQ143" s="181"/>
      <c r="NDR143" s="181"/>
      <c r="NDS143" s="181"/>
      <c r="NDT143" s="181"/>
      <c r="NDU143" s="181"/>
      <c r="NDV143" s="181"/>
      <c r="NDW143" s="181"/>
      <c r="NDX143" s="181"/>
      <c r="NDY143" s="181"/>
      <c r="NDZ143" s="181"/>
      <c r="NEA143" s="181"/>
      <c r="NEB143" s="181"/>
      <c r="NEC143" s="181"/>
      <c r="NED143" s="181"/>
      <c r="NEE143" s="181"/>
      <c r="NEF143" s="181"/>
      <c r="NEG143" s="181"/>
      <c r="NEH143" s="181"/>
      <c r="NEI143" s="181"/>
      <c r="NEJ143" s="181"/>
      <c r="NEK143" s="181"/>
      <c r="NEL143" s="181"/>
      <c r="NEM143" s="181"/>
      <c r="NEN143" s="181"/>
      <c r="NEO143" s="181"/>
      <c r="NEP143" s="181"/>
      <c r="NEQ143" s="181"/>
      <c r="NER143" s="181"/>
      <c r="NES143" s="181"/>
      <c r="NET143" s="181"/>
      <c r="NEU143" s="181"/>
      <c r="NEV143" s="181"/>
      <c r="NEW143" s="181"/>
      <c r="NEX143" s="181"/>
      <c r="NEY143" s="181"/>
      <c r="NEZ143" s="181"/>
      <c r="NFA143" s="181"/>
      <c r="NFB143" s="181"/>
      <c r="NFC143" s="181"/>
      <c r="NFD143" s="181"/>
      <c r="NFE143" s="181"/>
      <c r="NFF143" s="181"/>
      <c r="NFG143" s="181"/>
      <c r="NFH143" s="181"/>
      <c r="NFI143" s="181"/>
      <c r="NFJ143" s="181"/>
      <c r="NFK143" s="181"/>
      <c r="NFL143" s="181"/>
      <c r="NFM143" s="181"/>
      <c r="NFN143" s="181"/>
      <c r="NFO143" s="181"/>
      <c r="NFP143" s="181"/>
      <c r="NFQ143" s="181"/>
      <c r="NFR143" s="181"/>
      <c r="NFS143" s="181"/>
      <c r="NFT143" s="181"/>
      <c r="NFU143" s="181"/>
      <c r="NFV143" s="181"/>
      <c r="NFW143" s="181"/>
      <c r="NFX143" s="181"/>
      <c r="NFY143" s="181"/>
      <c r="NFZ143" s="181"/>
      <c r="NGA143" s="181"/>
      <c r="NGB143" s="181"/>
      <c r="NGC143" s="181"/>
      <c r="NGD143" s="181"/>
      <c r="NGE143" s="181"/>
      <c r="NGF143" s="181"/>
      <c r="NGG143" s="181"/>
      <c r="NGH143" s="181"/>
      <c r="NGI143" s="181"/>
      <c r="NGJ143" s="181"/>
      <c r="NGK143" s="181"/>
      <c r="NGL143" s="181"/>
      <c r="NGM143" s="181"/>
      <c r="NGN143" s="181"/>
      <c r="NGO143" s="181"/>
      <c r="NGP143" s="181"/>
      <c r="NGQ143" s="181"/>
      <c r="NGR143" s="181"/>
      <c r="NGS143" s="181"/>
      <c r="NGT143" s="181"/>
      <c r="NGU143" s="181"/>
      <c r="NGV143" s="181"/>
      <c r="NGW143" s="181"/>
      <c r="NGX143" s="181"/>
      <c r="NGY143" s="181"/>
      <c r="NGZ143" s="181"/>
      <c r="NHA143" s="181"/>
      <c r="NHB143" s="181"/>
      <c r="NHC143" s="181"/>
      <c r="NHD143" s="181"/>
      <c r="NHE143" s="181"/>
      <c r="NHF143" s="181"/>
      <c r="NHG143" s="181"/>
      <c r="NHH143" s="181"/>
      <c r="NHI143" s="181"/>
      <c r="NHJ143" s="181"/>
      <c r="NHK143" s="181"/>
      <c r="NHL143" s="181"/>
      <c r="NHM143" s="181"/>
      <c r="NHN143" s="181"/>
      <c r="NHO143" s="181"/>
      <c r="NHP143" s="181"/>
      <c r="NHQ143" s="181"/>
      <c r="NHR143" s="181"/>
      <c r="NHS143" s="181"/>
      <c r="NHT143" s="181"/>
      <c r="NHU143" s="181"/>
      <c r="NHV143" s="181"/>
      <c r="NHW143" s="181"/>
      <c r="NHX143" s="181"/>
      <c r="NHY143" s="181"/>
      <c r="NHZ143" s="181"/>
      <c r="NIA143" s="181"/>
      <c r="NIB143" s="181"/>
      <c r="NIC143" s="181"/>
      <c r="NID143" s="181"/>
      <c r="NIE143" s="181"/>
      <c r="NIF143" s="181"/>
      <c r="NIG143" s="181"/>
      <c r="NIH143" s="181"/>
      <c r="NII143" s="181"/>
      <c r="NIJ143" s="181"/>
      <c r="NIK143" s="181"/>
      <c r="NIL143" s="181"/>
      <c r="NIM143" s="181"/>
      <c r="NIN143" s="181"/>
      <c r="NIO143" s="181"/>
      <c r="NIP143" s="181"/>
      <c r="NIQ143" s="181"/>
      <c r="NIR143" s="181"/>
      <c r="NIS143" s="181"/>
      <c r="NIT143" s="181"/>
      <c r="NIU143" s="181"/>
      <c r="NIV143" s="181"/>
      <c r="NIW143" s="181"/>
      <c r="NIX143" s="181"/>
      <c r="NIY143" s="181"/>
      <c r="NIZ143" s="181"/>
      <c r="NJA143" s="181"/>
      <c r="NJB143" s="181"/>
      <c r="NJC143" s="181"/>
      <c r="NJD143" s="181"/>
      <c r="NJE143" s="181"/>
      <c r="NJF143" s="181"/>
      <c r="NJG143" s="181"/>
      <c r="NJH143" s="181"/>
      <c r="NJI143" s="181"/>
      <c r="NJJ143" s="181"/>
      <c r="NJK143" s="181"/>
      <c r="NJL143" s="181"/>
      <c r="NJM143" s="181"/>
      <c r="NJN143" s="181"/>
      <c r="NJO143" s="181"/>
      <c r="NJP143" s="181"/>
      <c r="NJQ143" s="181"/>
      <c r="NJR143" s="181"/>
      <c r="NJS143" s="181"/>
      <c r="NJT143" s="181"/>
      <c r="NJU143" s="181"/>
      <c r="NJV143" s="181"/>
      <c r="NJW143" s="181"/>
      <c r="NJX143" s="181"/>
      <c r="NJY143" s="181"/>
      <c r="NJZ143" s="181"/>
      <c r="NKA143" s="181"/>
      <c r="NKB143" s="181"/>
      <c r="NKC143" s="181"/>
      <c r="NKD143" s="181"/>
      <c r="NKE143" s="181"/>
      <c r="NKF143" s="181"/>
      <c r="NKG143" s="181"/>
      <c r="NKH143" s="181"/>
      <c r="NKI143" s="181"/>
      <c r="NKJ143" s="181"/>
      <c r="NKK143" s="181"/>
      <c r="NKL143" s="181"/>
      <c r="NKM143" s="181"/>
      <c r="NKN143" s="181"/>
      <c r="NKO143" s="181"/>
      <c r="NKP143" s="181"/>
      <c r="NKQ143" s="181"/>
      <c r="NKR143" s="181"/>
      <c r="NKS143" s="181"/>
      <c r="NKT143" s="181"/>
      <c r="NKU143" s="181"/>
      <c r="NKV143" s="181"/>
      <c r="NKW143" s="181"/>
      <c r="NKX143" s="181"/>
      <c r="NKY143" s="181"/>
      <c r="NKZ143" s="181"/>
      <c r="NLA143" s="181"/>
      <c r="NLB143" s="181"/>
      <c r="NLC143" s="181"/>
      <c r="NLD143" s="181"/>
      <c r="NLE143" s="181"/>
      <c r="NLF143" s="181"/>
      <c r="NLG143" s="181"/>
      <c r="NLH143" s="181"/>
      <c r="NLI143" s="181"/>
      <c r="NLJ143" s="181"/>
      <c r="NLK143" s="181"/>
      <c r="NLL143" s="181"/>
      <c r="NLM143" s="181"/>
      <c r="NLN143" s="181"/>
      <c r="NLO143" s="181"/>
      <c r="NLP143" s="181"/>
      <c r="NLQ143" s="181"/>
      <c r="NLR143" s="181"/>
      <c r="NLS143" s="181"/>
      <c r="NLT143" s="181"/>
      <c r="NLU143" s="181"/>
      <c r="NLV143" s="181"/>
      <c r="NLW143" s="181"/>
      <c r="NLX143" s="181"/>
      <c r="NLY143" s="181"/>
      <c r="NLZ143" s="181"/>
      <c r="NMA143" s="181"/>
      <c r="NMB143" s="181"/>
      <c r="NMC143" s="181"/>
      <c r="NMD143" s="181"/>
      <c r="NME143" s="181"/>
      <c r="NMF143" s="181"/>
      <c r="NMG143" s="181"/>
      <c r="NMH143" s="181"/>
      <c r="NMI143" s="181"/>
      <c r="NMJ143" s="181"/>
      <c r="NMK143" s="181"/>
      <c r="NML143" s="181"/>
      <c r="NMM143" s="181"/>
      <c r="NMN143" s="181"/>
      <c r="NMO143" s="181"/>
      <c r="NMP143" s="181"/>
      <c r="NMQ143" s="181"/>
      <c r="NMR143" s="181"/>
      <c r="NMS143" s="181"/>
      <c r="NMT143" s="181"/>
      <c r="NMU143" s="181"/>
      <c r="NMV143" s="181"/>
      <c r="NMW143" s="181"/>
      <c r="NMX143" s="181"/>
      <c r="NMY143" s="181"/>
      <c r="NMZ143" s="181"/>
      <c r="NNA143" s="181"/>
      <c r="NNB143" s="181"/>
      <c r="NNC143" s="181"/>
      <c r="NND143" s="181"/>
      <c r="NNE143" s="181"/>
      <c r="NNF143" s="181"/>
      <c r="NNG143" s="181"/>
      <c r="NNH143" s="181"/>
      <c r="NNI143" s="181"/>
      <c r="NNJ143" s="181"/>
      <c r="NNK143" s="181"/>
      <c r="NNL143" s="181"/>
      <c r="NNM143" s="181"/>
      <c r="NNN143" s="181"/>
      <c r="NNO143" s="181"/>
      <c r="NNP143" s="181"/>
      <c r="NNQ143" s="181"/>
      <c r="NNR143" s="181"/>
      <c r="NNS143" s="181"/>
      <c r="NNT143" s="181"/>
      <c r="NNU143" s="181"/>
      <c r="NNV143" s="181"/>
      <c r="NNW143" s="181"/>
      <c r="NNX143" s="181"/>
      <c r="NNY143" s="181"/>
      <c r="NNZ143" s="181"/>
      <c r="NOA143" s="181"/>
      <c r="NOB143" s="181"/>
      <c r="NOC143" s="181"/>
      <c r="NOD143" s="181"/>
      <c r="NOE143" s="181"/>
      <c r="NOF143" s="181"/>
      <c r="NOG143" s="181"/>
      <c r="NOH143" s="181"/>
      <c r="NOI143" s="181"/>
      <c r="NOJ143" s="181"/>
      <c r="NOK143" s="181"/>
      <c r="NOL143" s="181"/>
      <c r="NOM143" s="181"/>
      <c r="NON143" s="181"/>
      <c r="NOO143" s="181"/>
      <c r="NOP143" s="181"/>
      <c r="NOQ143" s="181"/>
      <c r="NOR143" s="181"/>
      <c r="NOS143" s="181"/>
      <c r="NOT143" s="181"/>
      <c r="NOU143" s="181"/>
      <c r="NOV143" s="181"/>
      <c r="NOW143" s="181"/>
      <c r="NOX143" s="181"/>
      <c r="NOY143" s="181"/>
      <c r="NOZ143" s="181"/>
      <c r="NPA143" s="181"/>
      <c r="NPB143" s="181"/>
      <c r="NPC143" s="181"/>
      <c r="NPD143" s="181"/>
      <c r="NPE143" s="181"/>
      <c r="NPF143" s="181"/>
      <c r="NPG143" s="181"/>
      <c r="NPH143" s="181"/>
      <c r="NPI143" s="181"/>
      <c r="NPJ143" s="181"/>
      <c r="NPK143" s="181"/>
      <c r="NPL143" s="181"/>
      <c r="NPM143" s="181"/>
      <c r="NPN143" s="181"/>
      <c r="NPO143" s="181"/>
      <c r="NPP143" s="181"/>
      <c r="NPQ143" s="181"/>
      <c r="NPR143" s="181"/>
      <c r="NPS143" s="181"/>
      <c r="NPT143" s="181"/>
      <c r="NPU143" s="181"/>
      <c r="NPV143" s="181"/>
      <c r="NPW143" s="181"/>
      <c r="NPX143" s="181"/>
      <c r="NPY143" s="181"/>
      <c r="NPZ143" s="181"/>
      <c r="NQA143" s="181"/>
      <c r="NQB143" s="181"/>
      <c r="NQC143" s="181"/>
      <c r="NQD143" s="181"/>
      <c r="NQE143" s="181"/>
      <c r="NQF143" s="181"/>
      <c r="NQG143" s="181"/>
      <c r="NQH143" s="181"/>
      <c r="NQI143" s="181"/>
      <c r="NQJ143" s="181"/>
      <c r="NQK143" s="181"/>
      <c r="NQL143" s="181"/>
      <c r="NQM143" s="181"/>
      <c r="NQN143" s="181"/>
      <c r="NQO143" s="181"/>
      <c r="NQP143" s="181"/>
      <c r="NQQ143" s="181"/>
      <c r="NQR143" s="181"/>
      <c r="NQS143" s="181"/>
      <c r="NQT143" s="181"/>
      <c r="NQU143" s="181"/>
      <c r="NQV143" s="181"/>
      <c r="NQW143" s="181"/>
      <c r="NQX143" s="181"/>
      <c r="NQY143" s="181"/>
      <c r="NQZ143" s="181"/>
      <c r="NRA143" s="181"/>
      <c r="NRB143" s="181"/>
      <c r="NRC143" s="181"/>
      <c r="NRD143" s="181"/>
      <c r="NRE143" s="181"/>
      <c r="NRF143" s="181"/>
      <c r="NRG143" s="181"/>
      <c r="NRH143" s="181"/>
      <c r="NRI143" s="181"/>
      <c r="NRJ143" s="181"/>
      <c r="NRK143" s="181"/>
      <c r="NRL143" s="181"/>
      <c r="NRM143" s="181"/>
      <c r="NRN143" s="181"/>
      <c r="NRO143" s="181"/>
      <c r="NRP143" s="181"/>
      <c r="NRQ143" s="181"/>
      <c r="NRR143" s="181"/>
      <c r="NRS143" s="181"/>
      <c r="NRT143" s="181"/>
      <c r="NRU143" s="181"/>
      <c r="NRV143" s="181"/>
      <c r="NRW143" s="181"/>
      <c r="NRX143" s="181"/>
      <c r="NRY143" s="181"/>
      <c r="NRZ143" s="181"/>
      <c r="NSA143" s="181"/>
      <c r="NSB143" s="181"/>
      <c r="NSC143" s="181"/>
      <c r="NSD143" s="181"/>
      <c r="NSE143" s="181"/>
      <c r="NSF143" s="181"/>
      <c r="NSG143" s="181"/>
      <c r="NSH143" s="181"/>
      <c r="NSI143" s="181"/>
      <c r="NSJ143" s="181"/>
      <c r="NSK143" s="181"/>
      <c r="NSL143" s="181"/>
      <c r="NSM143" s="181"/>
      <c r="NSN143" s="181"/>
      <c r="NSO143" s="181"/>
      <c r="NSP143" s="181"/>
      <c r="NSQ143" s="181"/>
      <c r="NSR143" s="181"/>
      <c r="NSS143" s="181"/>
      <c r="NST143" s="181"/>
      <c r="NSU143" s="181"/>
      <c r="NSV143" s="181"/>
      <c r="NSW143" s="181"/>
      <c r="NSX143" s="181"/>
      <c r="NSY143" s="181"/>
      <c r="NSZ143" s="181"/>
      <c r="NTA143" s="181"/>
      <c r="NTB143" s="181"/>
      <c r="NTC143" s="181"/>
      <c r="NTD143" s="181"/>
      <c r="NTE143" s="181"/>
      <c r="NTF143" s="181"/>
      <c r="NTG143" s="181"/>
      <c r="NTH143" s="181"/>
      <c r="NTI143" s="181"/>
      <c r="NTJ143" s="181"/>
      <c r="NTK143" s="181"/>
      <c r="NTL143" s="181"/>
      <c r="NTM143" s="181"/>
      <c r="NTN143" s="181"/>
      <c r="NTO143" s="181"/>
      <c r="NTP143" s="181"/>
      <c r="NTQ143" s="181"/>
      <c r="NTR143" s="181"/>
      <c r="NTS143" s="181"/>
      <c r="NTT143" s="181"/>
      <c r="NTU143" s="181"/>
      <c r="NTV143" s="181"/>
      <c r="NTW143" s="181"/>
      <c r="NTX143" s="181"/>
      <c r="NTY143" s="181"/>
      <c r="NTZ143" s="181"/>
      <c r="NUA143" s="181"/>
      <c r="NUB143" s="181"/>
      <c r="NUC143" s="181"/>
      <c r="NUD143" s="181"/>
      <c r="NUE143" s="181"/>
      <c r="NUF143" s="181"/>
      <c r="NUG143" s="181"/>
      <c r="NUH143" s="181"/>
      <c r="NUI143" s="181"/>
      <c r="NUJ143" s="181"/>
      <c r="NUK143" s="181"/>
      <c r="NUL143" s="181"/>
      <c r="NUM143" s="181"/>
      <c r="NUN143" s="181"/>
      <c r="NUO143" s="181"/>
      <c r="NUP143" s="181"/>
      <c r="NUQ143" s="181"/>
      <c r="NUR143" s="181"/>
      <c r="NUS143" s="181"/>
      <c r="NUT143" s="181"/>
      <c r="NUU143" s="181"/>
      <c r="NUV143" s="181"/>
      <c r="NUW143" s="181"/>
      <c r="NUX143" s="181"/>
      <c r="NUY143" s="181"/>
      <c r="NUZ143" s="181"/>
      <c r="NVA143" s="181"/>
      <c r="NVB143" s="181"/>
      <c r="NVC143" s="181"/>
      <c r="NVD143" s="181"/>
      <c r="NVE143" s="181"/>
      <c r="NVF143" s="181"/>
      <c r="NVG143" s="181"/>
      <c r="NVH143" s="181"/>
      <c r="NVI143" s="181"/>
      <c r="NVJ143" s="181"/>
      <c r="NVK143" s="181"/>
      <c r="NVL143" s="181"/>
      <c r="NVM143" s="181"/>
      <c r="NVN143" s="181"/>
      <c r="NVO143" s="181"/>
      <c r="NVP143" s="181"/>
      <c r="NVQ143" s="181"/>
      <c r="NVR143" s="181"/>
      <c r="NVS143" s="181"/>
      <c r="NVT143" s="181"/>
      <c r="NVU143" s="181"/>
      <c r="NVV143" s="181"/>
      <c r="NVW143" s="181"/>
      <c r="NVX143" s="181"/>
      <c r="NVY143" s="181"/>
      <c r="NVZ143" s="181"/>
      <c r="NWA143" s="181"/>
      <c r="NWB143" s="181"/>
      <c r="NWC143" s="181"/>
      <c r="NWD143" s="181"/>
      <c r="NWE143" s="181"/>
      <c r="NWF143" s="181"/>
      <c r="NWG143" s="181"/>
      <c r="NWH143" s="181"/>
      <c r="NWI143" s="181"/>
      <c r="NWJ143" s="181"/>
      <c r="NWK143" s="181"/>
      <c r="NWL143" s="181"/>
      <c r="NWM143" s="181"/>
      <c r="NWN143" s="181"/>
      <c r="NWO143" s="181"/>
      <c r="NWP143" s="181"/>
      <c r="NWQ143" s="181"/>
      <c r="NWR143" s="181"/>
      <c r="NWS143" s="181"/>
      <c r="NWT143" s="181"/>
      <c r="NWU143" s="181"/>
      <c r="NWV143" s="181"/>
      <c r="NWW143" s="181"/>
      <c r="NWX143" s="181"/>
      <c r="NWY143" s="181"/>
      <c r="NWZ143" s="181"/>
      <c r="NXA143" s="181"/>
      <c r="NXB143" s="181"/>
      <c r="NXC143" s="181"/>
      <c r="NXD143" s="181"/>
      <c r="NXE143" s="181"/>
      <c r="NXF143" s="181"/>
      <c r="NXG143" s="181"/>
      <c r="NXH143" s="181"/>
      <c r="NXI143" s="181"/>
      <c r="NXJ143" s="181"/>
      <c r="NXK143" s="181"/>
      <c r="NXL143" s="181"/>
      <c r="NXM143" s="181"/>
      <c r="NXN143" s="181"/>
      <c r="NXO143" s="181"/>
      <c r="NXP143" s="181"/>
      <c r="NXQ143" s="181"/>
      <c r="NXR143" s="181"/>
      <c r="NXS143" s="181"/>
      <c r="NXT143" s="181"/>
      <c r="NXU143" s="181"/>
      <c r="NXV143" s="181"/>
      <c r="NXW143" s="181"/>
      <c r="NXX143" s="181"/>
      <c r="NXY143" s="181"/>
      <c r="NXZ143" s="181"/>
      <c r="NYA143" s="181"/>
      <c r="NYB143" s="181"/>
      <c r="NYC143" s="181"/>
      <c r="NYD143" s="181"/>
      <c r="NYE143" s="181"/>
      <c r="NYF143" s="181"/>
      <c r="NYG143" s="181"/>
      <c r="NYH143" s="181"/>
      <c r="NYI143" s="181"/>
      <c r="NYJ143" s="181"/>
      <c r="NYK143" s="181"/>
      <c r="NYL143" s="181"/>
      <c r="NYM143" s="181"/>
      <c r="NYN143" s="181"/>
      <c r="NYO143" s="181"/>
      <c r="NYP143" s="181"/>
      <c r="NYQ143" s="181"/>
      <c r="NYR143" s="181"/>
      <c r="NYS143" s="181"/>
      <c r="NYT143" s="181"/>
      <c r="NYU143" s="181"/>
      <c r="NYV143" s="181"/>
      <c r="NYW143" s="181"/>
      <c r="NYX143" s="181"/>
      <c r="NYY143" s="181"/>
      <c r="NYZ143" s="181"/>
      <c r="NZA143" s="181"/>
      <c r="NZB143" s="181"/>
      <c r="NZC143" s="181"/>
      <c r="NZD143" s="181"/>
      <c r="NZE143" s="181"/>
      <c r="NZF143" s="181"/>
      <c r="NZG143" s="181"/>
      <c r="NZH143" s="181"/>
      <c r="NZI143" s="181"/>
      <c r="NZJ143" s="181"/>
      <c r="NZK143" s="181"/>
      <c r="NZL143" s="181"/>
      <c r="NZM143" s="181"/>
      <c r="NZN143" s="181"/>
      <c r="NZO143" s="181"/>
      <c r="NZP143" s="181"/>
      <c r="NZQ143" s="181"/>
      <c r="NZR143" s="181"/>
      <c r="NZS143" s="181"/>
      <c r="NZT143" s="181"/>
      <c r="NZU143" s="181"/>
      <c r="NZV143" s="181"/>
      <c r="NZW143" s="181"/>
      <c r="NZX143" s="181"/>
      <c r="NZY143" s="181"/>
      <c r="NZZ143" s="181"/>
      <c r="OAA143" s="181"/>
      <c r="OAB143" s="181"/>
      <c r="OAC143" s="181"/>
      <c r="OAD143" s="181"/>
      <c r="OAE143" s="181"/>
      <c r="OAF143" s="181"/>
      <c r="OAG143" s="181"/>
      <c r="OAH143" s="181"/>
      <c r="OAI143" s="181"/>
      <c r="OAJ143" s="181"/>
      <c r="OAK143" s="181"/>
      <c r="OAL143" s="181"/>
      <c r="OAM143" s="181"/>
      <c r="OAN143" s="181"/>
      <c r="OAO143" s="181"/>
      <c r="OAP143" s="181"/>
      <c r="OAQ143" s="181"/>
      <c r="OAR143" s="181"/>
      <c r="OAS143" s="181"/>
      <c r="OAT143" s="181"/>
      <c r="OAU143" s="181"/>
      <c r="OAV143" s="181"/>
      <c r="OAW143" s="181"/>
      <c r="OAX143" s="181"/>
      <c r="OAY143" s="181"/>
      <c r="OAZ143" s="181"/>
      <c r="OBA143" s="181"/>
      <c r="OBB143" s="181"/>
      <c r="OBC143" s="181"/>
      <c r="OBD143" s="181"/>
      <c r="OBE143" s="181"/>
      <c r="OBF143" s="181"/>
      <c r="OBG143" s="181"/>
      <c r="OBH143" s="181"/>
      <c r="OBI143" s="181"/>
      <c r="OBJ143" s="181"/>
      <c r="OBK143" s="181"/>
      <c r="OBL143" s="181"/>
      <c r="OBM143" s="181"/>
      <c r="OBN143" s="181"/>
      <c r="OBO143" s="181"/>
      <c r="OBP143" s="181"/>
      <c r="OBQ143" s="181"/>
      <c r="OBR143" s="181"/>
      <c r="OBS143" s="181"/>
      <c r="OBT143" s="181"/>
      <c r="OBU143" s="181"/>
      <c r="OBV143" s="181"/>
      <c r="OBW143" s="181"/>
      <c r="OBX143" s="181"/>
      <c r="OBY143" s="181"/>
      <c r="OBZ143" s="181"/>
      <c r="OCA143" s="181"/>
      <c r="OCB143" s="181"/>
      <c r="OCC143" s="181"/>
      <c r="OCD143" s="181"/>
      <c r="OCE143" s="181"/>
      <c r="OCF143" s="181"/>
      <c r="OCG143" s="181"/>
      <c r="OCH143" s="181"/>
      <c r="OCI143" s="181"/>
      <c r="OCJ143" s="181"/>
      <c r="OCK143" s="181"/>
      <c r="OCL143" s="181"/>
      <c r="OCM143" s="181"/>
      <c r="OCN143" s="181"/>
      <c r="OCO143" s="181"/>
      <c r="OCP143" s="181"/>
      <c r="OCQ143" s="181"/>
      <c r="OCR143" s="181"/>
      <c r="OCS143" s="181"/>
      <c r="OCT143" s="181"/>
      <c r="OCU143" s="181"/>
      <c r="OCV143" s="181"/>
      <c r="OCW143" s="181"/>
      <c r="OCX143" s="181"/>
      <c r="OCY143" s="181"/>
      <c r="OCZ143" s="181"/>
      <c r="ODA143" s="181"/>
      <c r="ODB143" s="181"/>
      <c r="ODC143" s="181"/>
      <c r="ODD143" s="181"/>
      <c r="ODE143" s="181"/>
      <c r="ODF143" s="181"/>
      <c r="ODG143" s="181"/>
      <c r="ODH143" s="181"/>
      <c r="ODI143" s="181"/>
      <c r="ODJ143" s="181"/>
      <c r="ODK143" s="181"/>
      <c r="ODL143" s="181"/>
      <c r="ODM143" s="181"/>
      <c r="ODN143" s="181"/>
      <c r="ODO143" s="181"/>
      <c r="ODP143" s="181"/>
      <c r="ODQ143" s="181"/>
      <c r="ODR143" s="181"/>
      <c r="ODS143" s="181"/>
      <c r="ODT143" s="181"/>
      <c r="ODU143" s="181"/>
      <c r="ODV143" s="181"/>
      <c r="ODW143" s="181"/>
      <c r="ODX143" s="181"/>
      <c r="ODY143" s="181"/>
      <c r="ODZ143" s="181"/>
      <c r="OEA143" s="181"/>
      <c r="OEB143" s="181"/>
      <c r="OEC143" s="181"/>
      <c r="OED143" s="181"/>
      <c r="OEE143" s="181"/>
      <c r="OEF143" s="181"/>
      <c r="OEG143" s="181"/>
      <c r="OEH143" s="181"/>
      <c r="OEI143" s="181"/>
      <c r="OEJ143" s="181"/>
      <c r="OEK143" s="181"/>
      <c r="OEL143" s="181"/>
      <c r="OEM143" s="181"/>
      <c r="OEN143" s="181"/>
      <c r="OEO143" s="181"/>
      <c r="OEP143" s="181"/>
      <c r="OEQ143" s="181"/>
      <c r="OER143" s="181"/>
      <c r="OES143" s="181"/>
      <c r="OET143" s="181"/>
      <c r="OEU143" s="181"/>
      <c r="OEV143" s="181"/>
      <c r="OEW143" s="181"/>
      <c r="OEX143" s="181"/>
      <c r="OEY143" s="181"/>
      <c r="OEZ143" s="181"/>
      <c r="OFA143" s="181"/>
      <c r="OFB143" s="181"/>
      <c r="OFC143" s="181"/>
      <c r="OFD143" s="181"/>
      <c r="OFE143" s="181"/>
      <c r="OFF143" s="181"/>
      <c r="OFG143" s="181"/>
      <c r="OFH143" s="181"/>
      <c r="OFI143" s="181"/>
      <c r="OFJ143" s="181"/>
      <c r="OFK143" s="181"/>
      <c r="OFL143" s="181"/>
      <c r="OFM143" s="181"/>
      <c r="OFN143" s="181"/>
      <c r="OFO143" s="181"/>
      <c r="OFP143" s="181"/>
      <c r="OFQ143" s="181"/>
      <c r="OFR143" s="181"/>
      <c r="OFS143" s="181"/>
      <c r="OFT143" s="181"/>
      <c r="OFU143" s="181"/>
      <c r="OFV143" s="181"/>
      <c r="OFW143" s="181"/>
      <c r="OFX143" s="181"/>
      <c r="OFY143" s="181"/>
      <c r="OFZ143" s="181"/>
      <c r="OGA143" s="181"/>
      <c r="OGB143" s="181"/>
      <c r="OGC143" s="181"/>
      <c r="OGD143" s="181"/>
      <c r="OGE143" s="181"/>
      <c r="OGF143" s="181"/>
      <c r="OGG143" s="181"/>
      <c r="OGH143" s="181"/>
      <c r="OGI143" s="181"/>
      <c r="OGJ143" s="181"/>
      <c r="OGK143" s="181"/>
      <c r="OGL143" s="181"/>
      <c r="OGM143" s="181"/>
      <c r="OGN143" s="181"/>
      <c r="OGO143" s="181"/>
      <c r="OGP143" s="181"/>
      <c r="OGQ143" s="181"/>
      <c r="OGR143" s="181"/>
      <c r="OGS143" s="181"/>
      <c r="OGT143" s="181"/>
      <c r="OGU143" s="181"/>
      <c r="OGV143" s="181"/>
      <c r="OGW143" s="181"/>
      <c r="OGX143" s="181"/>
      <c r="OGY143" s="181"/>
      <c r="OGZ143" s="181"/>
      <c r="OHA143" s="181"/>
      <c r="OHB143" s="181"/>
      <c r="OHC143" s="181"/>
      <c r="OHD143" s="181"/>
      <c r="OHE143" s="181"/>
      <c r="OHF143" s="181"/>
      <c r="OHG143" s="181"/>
      <c r="OHH143" s="181"/>
      <c r="OHI143" s="181"/>
      <c r="OHJ143" s="181"/>
      <c r="OHK143" s="181"/>
      <c r="OHL143" s="181"/>
      <c r="OHM143" s="181"/>
      <c r="OHN143" s="181"/>
      <c r="OHO143" s="181"/>
      <c r="OHP143" s="181"/>
      <c r="OHQ143" s="181"/>
      <c r="OHR143" s="181"/>
      <c r="OHS143" s="181"/>
      <c r="OHT143" s="181"/>
      <c r="OHU143" s="181"/>
      <c r="OHV143" s="181"/>
      <c r="OHW143" s="181"/>
      <c r="OHX143" s="181"/>
      <c r="OHY143" s="181"/>
      <c r="OHZ143" s="181"/>
      <c r="OIA143" s="181"/>
      <c r="OIB143" s="181"/>
      <c r="OIC143" s="181"/>
      <c r="OID143" s="181"/>
      <c r="OIE143" s="181"/>
      <c r="OIF143" s="181"/>
      <c r="OIG143" s="181"/>
      <c r="OIH143" s="181"/>
      <c r="OII143" s="181"/>
      <c r="OIJ143" s="181"/>
      <c r="OIK143" s="181"/>
      <c r="OIL143" s="181"/>
      <c r="OIM143" s="181"/>
      <c r="OIN143" s="181"/>
      <c r="OIO143" s="181"/>
      <c r="OIP143" s="181"/>
      <c r="OIQ143" s="181"/>
      <c r="OIR143" s="181"/>
      <c r="OIS143" s="181"/>
      <c r="OIT143" s="181"/>
      <c r="OIU143" s="181"/>
      <c r="OIV143" s="181"/>
      <c r="OIW143" s="181"/>
      <c r="OIX143" s="181"/>
      <c r="OIY143" s="181"/>
      <c r="OIZ143" s="181"/>
      <c r="OJA143" s="181"/>
      <c r="OJB143" s="181"/>
      <c r="OJC143" s="181"/>
      <c r="OJD143" s="181"/>
      <c r="OJE143" s="181"/>
      <c r="OJF143" s="181"/>
      <c r="OJG143" s="181"/>
      <c r="OJH143" s="181"/>
      <c r="OJI143" s="181"/>
      <c r="OJJ143" s="181"/>
      <c r="OJK143" s="181"/>
      <c r="OJL143" s="181"/>
      <c r="OJM143" s="181"/>
      <c r="OJN143" s="181"/>
      <c r="OJO143" s="181"/>
      <c r="OJP143" s="181"/>
      <c r="OJQ143" s="181"/>
      <c r="OJR143" s="181"/>
      <c r="OJS143" s="181"/>
      <c r="OJT143" s="181"/>
      <c r="OJU143" s="181"/>
      <c r="OJV143" s="181"/>
      <c r="OJW143" s="181"/>
      <c r="OJX143" s="181"/>
      <c r="OJY143" s="181"/>
      <c r="OJZ143" s="181"/>
      <c r="OKA143" s="181"/>
      <c r="OKB143" s="181"/>
      <c r="OKC143" s="181"/>
      <c r="OKD143" s="181"/>
      <c r="OKE143" s="181"/>
      <c r="OKF143" s="181"/>
      <c r="OKG143" s="181"/>
      <c r="OKH143" s="181"/>
      <c r="OKI143" s="181"/>
      <c r="OKJ143" s="181"/>
      <c r="OKK143" s="181"/>
      <c r="OKL143" s="181"/>
      <c r="OKM143" s="181"/>
      <c r="OKN143" s="181"/>
      <c r="OKO143" s="181"/>
      <c r="OKP143" s="181"/>
      <c r="OKQ143" s="181"/>
      <c r="OKR143" s="181"/>
      <c r="OKS143" s="181"/>
      <c r="OKT143" s="181"/>
      <c r="OKU143" s="181"/>
      <c r="OKV143" s="181"/>
      <c r="OKW143" s="181"/>
      <c r="OKX143" s="181"/>
      <c r="OKY143" s="181"/>
      <c r="OKZ143" s="181"/>
      <c r="OLA143" s="181"/>
      <c r="OLB143" s="181"/>
      <c r="OLC143" s="181"/>
      <c r="OLD143" s="181"/>
      <c r="OLE143" s="181"/>
      <c r="OLF143" s="181"/>
      <c r="OLG143" s="181"/>
      <c r="OLH143" s="181"/>
      <c r="OLI143" s="181"/>
      <c r="OLJ143" s="181"/>
      <c r="OLK143" s="181"/>
      <c r="OLL143" s="181"/>
      <c r="OLM143" s="181"/>
      <c r="OLN143" s="181"/>
      <c r="OLO143" s="181"/>
      <c r="OLP143" s="181"/>
      <c r="OLQ143" s="181"/>
      <c r="OLR143" s="181"/>
      <c r="OLS143" s="181"/>
      <c r="OLT143" s="181"/>
      <c r="OLU143" s="181"/>
      <c r="OLV143" s="181"/>
      <c r="OLW143" s="181"/>
      <c r="OLX143" s="181"/>
      <c r="OLY143" s="181"/>
      <c r="OLZ143" s="181"/>
      <c r="OMA143" s="181"/>
      <c r="OMB143" s="181"/>
      <c r="OMC143" s="181"/>
      <c r="OMD143" s="181"/>
      <c r="OME143" s="181"/>
      <c r="OMF143" s="181"/>
      <c r="OMG143" s="181"/>
      <c r="OMH143" s="181"/>
      <c r="OMI143" s="181"/>
      <c r="OMJ143" s="181"/>
      <c r="OMK143" s="181"/>
      <c r="OML143" s="181"/>
      <c r="OMM143" s="181"/>
      <c r="OMN143" s="181"/>
      <c r="OMO143" s="181"/>
      <c r="OMP143" s="181"/>
      <c r="OMQ143" s="181"/>
      <c r="OMR143" s="181"/>
      <c r="OMS143" s="181"/>
      <c r="OMT143" s="181"/>
      <c r="OMU143" s="181"/>
      <c r="OMV143" s="181"/>
      <c r="OMW143" s="181"/>
      <c r="OMX143" s="181"/>
      <c r="OMY143" s="181"/>
      <c r="OMZ143" s="181"/>
      <c r="ONA143" s="181"/>
      <c r="ONB143" s="181"/>
      <c r="ONC143" s="181"/>
      <c r="OND143" s="181"/>
      <c r="ONE143" s="181"/>
      <c r="ONF143" s="181"/>
      <c r="ONG143" s="181"/>
      <c r="ONH143" s="181"/>
      <c r="ONI143" s="181"/>
      <c r="ONJ143" s="181"/>
      <c r="ONK143" s="181"/>
      <c r="ONL143" s="181"/>
      <c r="ONM143" s="181"/>
      <c r="ONN143" s="181"/>
      <c r="ONO143" s="181"/>
      <c r="ONP143" s="181"/>
      <c r="ONQ143" s="181"/>
      <c r="ONR143" s="181"/>
      <c r="ONS143" s="181"/>
      <c r="ONT143" s="181"/>
      <c r="ONU143" s="181"/>
      <c r="ONV143" s="181"/>
      <c r="ONW143" s="181"/>
      <c r="ONX143" s="181"/>
      <c r="ONY143" s="181"/>
      <c r="ONZ143" s="181"/>
      <c r="OOA143" s="181"/>
      <c r="OOB143" s="181"/>
      <c r="OOC143" s="181"/>
      <c r="OOD143" s="181"/>
      <c r="OOE143" s="181"/>
      <c r="OOF143" s="181"/>
      <c r="OOG143" s="181"/>
      <c r="OOH143" s="181"/>
      <c r="OOI143" s="181"/>
      <c r="OOJ143" s="181"/>
      <c r="OOK143" s="181"/>
      <c r="OOL143" s="181"/>
      <c r="OOM143" s="181"/>
      <c r="OON143" s="181"/>
      <c r="OOO143" s="181"/>
      <c r="OOP143" s="181"/>
      <c r="OOQ143" s="181"/>
      <c r="OOR143" s="181"/>
      <c r="OOS143" s="181"/>
      <c r="OOT143" s="181"/>
      <c r="OOU143" s="181"/>
      <c r="OOV143" s="181"/>
      <c r="OOW143" s="181"/>
      <c r="OOX143" s="181"/>
      <c r="OOY143" s="181"/>
      <c r="OOZ143" s="181"/>
      <c r="OPA143" s="181"/>
      <c r="OPB143" s="181"/>
      <c r="OPC143" s="181"/>
      <c r="OPD143" s="181"/>
      <c r="OPE143" s="181"/>
      <c r="OPF143" s="181"/>
      <c r="OPG143" s="181"/>
      <c r="OPH143" s="181"/>
      <c r="OPI143" s="181"/>
      <c r="OPJ143" s="181"/>
      <c r="OPK143" s="181"/>
      <c r="OPL143" s="181"/>
      <c r="OPM143" s="181"/>
      <c r="OPN143" s="181"/>
      <c r="OPO143" s="181"/>
      <c r="OPP143" s="181"/>
      <c r="OPQ143" s="181"/>
      <c r="OPR143" s="181"/>
      <c r="OPS143" s="181"/>
      <c r="OPT143" s="181"/>
      <c r="OPU143" s="181"/>
      <c r="OPV143" s="181"/>
      <c r="OPW143" s="181"/>
      <c r="OPX143" s="181"/>
      <c r="OPY143" s="181"/>
      <c r="OPZ143" s="181"/>
      <c r="OQA143" s="181"/>
      <c r="OQB143" s="181"/>
      <c r="OQC143" s="181"/>
      <c r="OQD143" s="181"/>
      <c r="OQE143" s="181"/>
      <c r="OQF143" s="181"/>
      <c r="OQG143" s="181"/>
      <c r="OQH143" s="181"/>
      <c r="OQI143" s="181"/>
      <c r="OQJ143" s="181"/>
      <c r="OQK143" s="181"/>
      <c r="OQL143" s="181"/>
      <c r="OQM143" s="181"/>
      <c r="OQN143" s="181"/>
      <c r="OQO143" s="181"/>
      <c r="OQP143" s="181"/>
      <c r="OQQ143" s="181"/>
      <c r="OQR143" s="181"/>
      <c r="OQS143" s="181"/>
      <c r="OQT143" s="181"/>
      <c r="OQU143" s="181"/>
      <c r="OQV143" s="181"/>
      <c r="OQW143" s="181"/>
      <c r="OQX143" s="181"/>
      <c r="OQY143" s="181"/>
      <c r="OQZ143" s="181"/>
      <c r="ORA143" s="181"/>
      <c r="ORB143" s="181"/>
      <c r="ORC143" s="181"/>
      <c r="ORD143" s="181"/>
      <c r="ORE143" s="181"/>
      <c r="ORF143" s="181"/>
      <c r="ORG143" s="181"/>
      <c r="ORH143" s="181"/>
      <c r="ORI143" s="181"/>
      <c r="ORJ143" s="181"/>
      <c r="ORK143" s="181"/>
      <c r="ORL143" s="181"/>
      <c r="ORM143" s="181"/>
      <c r="ORN143" s="181"/>
      <c r="ORO143" s="181"/>
      <c r="ORP143" s="181"/>
      <c r="ORQ143" s="181"/>
      <c r="ORR143" s="181"/>
      <c r="ORS143" s="181"/>
      <c r="ORT143" s="181"/>
      <c r="ORU143" s="181"/>
      <c r="ORV143" s="181"/>
      <c r="ORW143" s="181"/>
      <c r="ORX143" s="181"/>
      <c r="ORY143" s="181"/>
      <c r="ORZ143" s="181"/>
      <c r="OSA143" s="181"/>
      <c r="OSB143" s="181"/>
      <c r="OSC143" s="181"/>
      <c r="OSD143" s="181"/>
      <c r="OSE143" s="181"/>
      <c r="OSF143" s="181"/>
      <c r="OSG143" s="181"/>
      <c r="OSH143" s="181"/>
      <c r="OSI143" s="181"/>
      <c r="OSJ143" s="181"/>
      <c r="OSK143" s="181"/>
      <c r="OSL143" s="181"/>
      <c r="OSM143" s="181"/>
      <c r="OSN143" s="181"/>
      <c r="OSO143" s="181"/>
      <c r="OSP143" s="181"/>
      <c r="OSQ143" s="181"/>
      <c r="OSR143" s="181"/>
      <c r="OSS143" s="181"/>
      <c r="OST143" s="181"/>
      <c r="OSU143" s="181"/>
      <c r="OSV143" s="181"/>
      <c r="OSW143" s="181"/>
      <c r="OSX143" s="181"/>
      <c r="OSY143" s="181"/>
      <c r="OSZ143" s="181"/>
      <c r="OTA143" s="181"/>
      <c r="OTB143" s="181"/>
      <c r="OTC143" s="181"/>
      <c r="OTD143" s="181"/>
      <c r="OTE143" s="181"/>
      <c r="OTF143" s="181"/>
      <c r="OTG143" s="181"/>
      <c r="OTH143" s="181"/>
      <c r="OTI143" s="181"/>
      <c r="OTJ143" s="181"/>
      <c r="OTK143" s="181"/>
      <c r="OTL143" s="181"/>
      <c r="OTM143" s="181"/>
      <c r="OTN143" s="181"/>
      <c r="OTO143" s="181"/>
      <c r="OTP143" s="181"/>
      <c r="OTQ143" s="181"/>
      <c r="OTR143" s="181"/>
      <c r="OTS143" s="181"/>
      <c r="OTT143" s="181"/>
      <c r="OTU143" s="181"/>
      <c r="OTV143" s="181"/>
      <c r="OTW143" s="181"/>
      <c r="OTX143" s="181"/>
      <c r="OTY143" s="181"/>
      <c r="OTZ143" s="181"/>
      <c r="OUA143" s="181"/>
      <c r="OUB143" s="181"/>
      <c r="OUC143" s="181"/>
      <c r="OUD143" s="181"/>
      <c r="OUE143" s="181"/>
      <c r="OUF143" s="181"/>
      <c r="OUG143" s="181"/>
      <c r="OUH143" s="181"/>
      <c r="OUI143" s="181"/>
      <c r="OUJ143" s="181"/>
      <c r="OUK143" s="181"/>
      <c r="OUL143" s="181"/>
      <c r="OUM143" s="181"/>
      <c r="OUN143" s="181"/>
      <c r="OUO143" s="181"/>
      <c r="OUP143" s="181"/>
      <c r="OUQ143" s="181"/>
      <c r="OUR143" s="181"/>
      <c r="OUS143" s="181"/>
      <c r="OUT143" s="181"/>
      <c r="OUU143" s="181"/>
      <c r="OUV143" s="181"/>
      <c r="OUW143" s="181"/>
      <c r="OUX143" s="181"/>
      <c r="OUY143" s="181"/>
      <c r="OUZ143" s="181"/>
      <c r="OVA143" s="181"/>
      <c r="OVB143" s="181"/>
      <c r="OVC143" s="181"/>
      <c r="OVD143" s="181"/>
      <c r="OVE143" s="181"/>
      <c r="OVF143" s="181"/>
      <c r="OVG143" s="181"/>
      <c r="OVH143" s="181"/>
      <c r="OVI143" s="181"/>
      <c r="OVJ143" s="181"/>
      <c r="OVK143" s="181"/>
      <c r="OVL143" s="181"/>
      <c r="OVM143" s="181"/>
      <c r="OVN143" s="181"/>
      <c r="OVO143" s="181"/>
      <c r="OVP143" s="181"/>
      <c r="OVQ143" s="181"/>
      <c r="OVR143" s="181"/>
      <c r="OVS143" s="181"/>
      <c r="OVT143" s="181"/>
      <c r="OVU143" s="181"/>
      <c r="OVV143" s="181"/>
      <c r="OVW143" s="181"/>
      <c r="OVX143" s="181"/>
      <c r="OVY143" s="181"/>
      <c r="OVZ143" s="181"/>
      <c r="OWA143" s="181"/>
      <c r="OWB143" s="181"/>
      <c r="OWC143" s="181"/>
      <c r="OWD143" s="181"/>
      <c r="OWE143" s="181"/>
      <c r="OWF143" s="181"/>
      <c r="OWG143" s="181"/>
      <c r="OWH143" s="181"/>
      <c r="OWI143" s="181"/>
      <c r="OWJ143" s="181"/>
      <c r="OWK143" s="181"/>
      <c r="OWL143" s="181"/>
      <c r="OWM143" s="181"/>
      <c r="OWN143" s="181"/>
      <c r="OWO143" s="181"/>
      <c r="OWP143" s="181"/>
      <c r="OWQ143" s="181"/>
      <c r="OWR143" s="181"/>
      <c r="OWS143" s="181"/>
      <c r="OWT143" s="181"/>
      <c r="OWU143" s="181"/>
      <c r="OWV143" s="181"/>
      <c r="OWW143" s="181"/>
      <c r="OWX143" s="181"/>
      <c r="OWY143" s="181"/>
      <c r="OWZ143" s="181"/>
      <c r="OXA143" s="181"/>
      <c r="OXB143" s="181"/>
      <c r="OXC143" s="181"/>
      <c r="OXD143" s="181"/>
      <c r="OXE143" s="181"/>
      <c r="OXF143" s="181"/>
      <c r="OXG143" s="181"/>
      <c r="OXH143" s="181"/>
      <c r="OXI143" s="181"/>
      <c r="OXJ143" s="181"/>
      <c r="OXK143" s="181"/>
      <c r="OXL143" s="181"/>
      <c r="OXM143" s="181"/>
      <c r="OXN143" s="181"/>
      <c r="OXO143" s="181"/>
      <c r="OXP143" s="181"/>
      <c r="OXQ143" s="181"/>
      <c r="OXR143" s="181"/>
      <c r="OXS143" s="181"/>
      <c r="OXT143" s="181"/>
      <c r="OXU143" s="181"/>
      <c r="OXV143" s="181"/>
      <c r="OXW143" s="181"/>
      <c r="OXX143" s="181"/>
      <c r="OXY143" s="181"/>
      <c r="OXZ143" s="181"/>
      <c r="OYA143" s="181"/>
      <c r="OYB143" s="181"/>
      <c r="OYC143" s="181"/>
      <c r="OYD143" s="181"/>
      <c r="OYE143" s="181"/>
      <c r="OYF143" s="181"/>
      <c r="OYG143" s="181"/>
      <c r="OYH143" s="181"/>
      <c r="OYI143" s="181"/>
      <c r="OYJ143" s="181"/>
      <c r="OYK143" s="181"/>
      <c r="OYL143" s="181"/>
      <c r="OYM143" s="181"/>
      <c r="OYN143" s="181"/>
      <c r="OYO143" s="181"/>
      <c r="OYP143" s="181"/>
      <c r="OYQ143" s="181"/>
      <c r="OYR143" s="181"/>
      <c r="OYS143" s="181"/>
      <c r="OYT143" s="181"/>
      <c r="OYU143" s="181"/>
      <c r="OYV143" s="181"/>
      <c r="OYW143" s="181"/>
      <c r="OYX143" s="181"/>
      <c r="OYY143" s="181"/>
      <c r="OYZ143" s="181"/>
      <c r="OZA143" s="181"/>
      <c r="OZB143" s="181"/>
      <c r="OZC143" s="181"/>
      <c r="OZD143" s="181"/>
      <c r="OZE143" s="181"/>
      <c r="OZF143" s="181"/>
      <c r="OZG143" s="181"/>
      <c r="OZH143" s="181"/>
      <c r="OZI143" s="181"/>
      <c r="OZJ143" s="181"/>
      <c r="OZK143" s="181"/>
      <c r="OZL143" s="181"/>
      <c r="OZM143" s="181"/>
      <c r="OZN143" s="181"/>
      <c r="OZO143" s="181"/>
      <c r="OZP143" s="181"/>
      <c r="OZQ143" s="181"/>
      <c r="OZR143" s="181"/>
      <c r="OZS143" s="181"/>
      <c r="OZT143" s="181"/>
      <c r="OZU143" s="181"/>
      <c r="OZV143" s="181"/>
      <c r="OZW143" s="181"/>
      <c r="OZX143" s="181"/>
      <c r="OZY143" s="181"/>
      <c r="OZZ143" s="181"/>
      <c r="PAA143" s="181"/>
      <c r="PAB143" s="181"/>
      <c r="PAC143" s="181"/>
      <c r="PAD143" s="181"/>
      <c r="PAE143" s="181"/>
      <c r="PAF143" s="181"/>
      <c r="PAG143" s="181"/>
      <c r="PAH143" s="181"/>
      <c r="PAI143" s="181"/>
      <c r="PAJ143" s="181"/>
      <c r="PAK143" s="181"/>
      <c r="PAL143" s="181"/>
      <c r="PAM143" s="181"/>
      <c r="PAN143" s="181"/>
      <c r="PAO143" s="181"/>
      <c r="PAP143" s="181"/>
      <c r="PAQ143" s="181"/>
      <c r="PAR143" s="181"/>
      <c r="PAS143" s="181"/>
      <c r="PAT143" s="181"/>
      <c r="PAU143" s="181"/>
      <c r="PAV143" s="181"/>
      <c r="PAW143" s="181"/>
      <c r="PAX143" s="181"/>
      <c r="PAY143" s="181"/>
      <c r="PAZ143" s="181"/>
      <c r="PBA143" s="181"/>
      <c r="PBB143" s="181"/>
      <c r="PBC143" s="181"/>
      <c r="PBD143" s="181"/>
      <c r="PBE143" s="181"/>
      <c r="PBF143" s="181"/>
      <c r="PBG143" s="181"/>
      <c r="PBH143" s="181"/>
      <c r="PBI143" s="181"/>
      <c r="PBJ143" s="181"/>
      <c r="PBK143" s="181"/>
      <c r="PBL143" s="181"/>
      <c r="PBM143" s="181"/>
      <c r="PBN143" s="181"/>
      <c r="PBO143" s="181"/>
      <c r="PBP143" s="181"/>
      <c r="PBQ143" s="181"/>
      <c r="PBR143" s="181"/>
      <c r="PBS143" s="181"/>
      <c r="PBT143" s="181"/>
      <c r="PBU143" s="181"/>
      <c r="PBV143" s="181"/>
      <c r="PBW143" s="181"/>
      <c r="PBX143" s="181"/>
      <c r="PBY143" s="181"/>
      <c r="PBZ143" s="181"/>
      <c r="PCA143" s="181"/>
      <c r="PCB143" s="181"/>
      <c r="PCC143" s="181"/>
      <c r="PCD143" s="181"/>
      <c r="PCE143" s="181"/>
      <c r="PCF143" s="181"/>
      <c r="PCG143" s="181"/>
      <c r="PCH143" s="181"/>
      <c r="PCI143" s="181"/>
      <c r="PCJ143" s="181"/>
      <c r="PCK143" s="181"/>
      <c r="PCL143" s="181"/>
      <c r="PCM143" s="181"/>
      <c r="PCN143" s="181"/>
      <c r="PCO143" s="181"/>
      <c r="PCP143" s="181"/>
      <c r="PCQ143" s="181"/>
      <c r="PCR143" s="181"/>
      <c r="PCS143" s="181"/>
      <c r="PCT143" s="181"/>
      <c r="PCU143" s="181"/>
      <c r="PCV143" s="181"/>
      <c r="PCW143" s="181"/>
      <c r="PCX143" s="181"/>
      <c r="PCY143" s="181"/>
      <c r="PCZ143" s="181"/>
      <c r="PDA143" s="181"/>
      <c r="PDB143" s="181"/>
      <c r="PDC143" s="181"/>
      <c r="PDD143" s="181"/>
      <c r="PDE143" s="181"/>
      <c r="PDF143" s="181"/>
      <c r="PDG143" s="181"/>
      <c r="PDH143" s="181"/>
      <c r="PDI143" s="181"/>
      <c r="PDJ143" s="181"/>
      <c r="PDK143" s="181"/>
      <c r="PDL143" s="181"/>
      <c r="PDM143" s="181"/>
      <c r="PDN143" s="181"/>
      <c r="PDO143" s="181"/>
      <c r="PDP143" s="181"/>
      <c r="PDQ143" s="181"/>
      <c r="PDR143" s="181"/>
      <c r="PDS143" s="181"/>
      <c r="PDT143" s="181"/>
      <c r="PDU143" s="181"/>
      <c r="PDV143" s="181"/>
      <c r="PDW143" s="181"/>
      <c r="PDX143" s="181"/>
      <c r="PDY143" s="181"/>
      <c r="PDZ143" s="181"/>
      <c r="PEA143" s="181"/>
      <c r="PEB143" s="181"/>
      <c r="PEC143" s="181"/>
      <c r="PED143" s="181"/>
      <c r="PEE143" s="181"/>
      <c r="PEF143" s="181"/>
      <c r="PEG143" s="181"/>
      <c r="PEH143" s="181"/>
      <c r="PEI143" s="181"/>
      <c r="PEJ143" s="181"/>
      <c r="PEK143" s="181"/>
      <c r="PEL143" s="181"/>
      <c r="PEM143" s="181"/>
      <c r="PEN143" s="181"/>
      <c r="PEO143" s="181"/>
      <c r="PEP143" s="181"/>
      <c r="PEQ143" s="181"/>
      <c r="PER143" s="181"/>
      <c r="PES143" s="181"/>
      <c r="PET143" s="181"/>
      <c r="PEU143" s="181"/>
      <c r="PEV143" s="181"/>
      <c r="PEW143" s="181"/>
      <c r="PEX143" s="181"/>
      <c r="PEY143" s="181"/>
      <c r="PEZ143" s="181"/>
      <c r="PFA143" s="181"/>
      <c r="PFB143" s="181"/>
      <c r="PFC143" s="181"/>
      <c r="PFD143" s="181"/>
      <c r="PFE143" s="181"/>
      <c r="PFF143" s="181"/>
      <c r="PFG143" s="181"/>
      <c r="PFH143" s="181"/>
      <c r="PFI143" s="181"/>
      <c r="PFJ143" s="181"/>
      <c r="PFK143" s="181"/>
      <c r="PFL143" s="181"/>
      <c r="PFM143" s="181"/>
      <c r="PFN143" s="181"/>
      <c r="PFO143" s="181"/>
      <c r="PFP143" s="181"/>
      <c r="PFQ143" s="181"/>
      <c r="PFR143" s="181"/>
      <c r="PFS143" s="181"/>
      <c r="PFT143" s="181"/>
      <c r="PFU143" s="181"/>
      <c r="PFV143" s="181"/>
      <c r="PFW143" s="181"/>
      <c r="PFX143" s="181"/>
      <c r="PFY143" s="181"/>
      <c r="PFZ143" s="181"/>
      <c r="PGA143" s="181"/>
      <c r="PGB143" s="181"/>
      <c r="PGC143" s="181"/>
      <c r="PGD143" s="181"/>
      <c r="PGE143" s="181"/>
      <c r="PGF143" s="181"/>
      <c r="PGG143" s="181"/>
      <c r="PGH143" s="181"/>
      <c r="PGI143" s="181"/>
      <c r="PGJ143" s="181"/>
      <c r="PGK143" s="181"/>
      <c r="PGL143" s="181"/>
      <c r="PGM143" s="181"/>
      <c r="PGN143" s="181"/>
      <c r="PGO143" s="181"/>
      <c r="PGP143" s="181"/>
      <c r="PGQ143" s="181"/>
      <c r="PGR143" s="181"/>
      <c r="PGS143" s="181"/>
      <c r="PGT143" s="181"/>
      <c r="PGU143" s="181"/>
      <c r="PGV143" s="181"/>
      <c r="PGW143" s="181"/>
      <c r="PGX143" s="181"/>
      <c r="PGY143" s="181"/>
      <c r="PGZ143" s="181"/>
      <c r="PHA143" s="181"/>
      <c r="PHB143" s="181"/>
      <c r="PHC143" s="181"/>
      <c r="PHD143" s="181"/>
      <c r="PHE143" s="181"/>
      <c r="PHF143" s="181"/>
      <c r="PHG143" s="181"/>
      <c r="PHH143" s="181"/>
      <c r="PHI143" s="181"/>
      <c r="PHJ143" s="181"/>
      <c r="PHK143" s="181"/>
      <c r="PHL143" s="181"/>
      <c r="PHM143" s="181"/>
      <c r="PHN143" s="181"/>
      <c r="PHO143" s="181"/>
      <c r="PHP143" s="181"/>
      <c r="PHQ143" s="181"/>
      <c r="PHR143" s="181"/>
      <c r="PHS143" s="181"/>
      <c r="PHT143" s="181"/>
      <c r="PHU143" s="181"/>
      <c r="PHV143" s="181"/>
      <c r="PHW143" s="181"/>
      <c r="PHX143" s="181"/>
      <c r="PHY143" s="181"/>
      <c r="PHZ143" s="181"/>
      <c r="PIA143" s="181"/>
      <c r="PIB143" s="181"/>
      <c r="PIC143" s="181"/>
      <c r="PID143" s="181"/>
      <c r="PIE143" s="181"/>
      <c r="PIF143" s="181"/>
      <c r="PIG143" s="181"/>
      <c r="PIH143" s="181"/>
      <c r="PII143" s="181"/>
      <c r="PIJ143" s="181"/>
      <c r="PIK143" s="181"/>
      <c r="PIL143" s="181"/>
      <c r="PIM143" s="181"/>
      <c r="PIN143" s="181"/>
      <c r="PIO143" s="181"/>
      <c r="PIP143" s="181"/>
      <c r="PIQ143" s="181"/>
      <c r="PIR143" s="181"/>
      <c r="PIS143" s="181"/>
      <c r="PIT143" s="181"/>
      <c r="PIU143" s="181"/>
      <c r="PIV143" s="181"/>
      <c r="PIW143" s="181"/>
      <c r="PIX143" s="181"/>
      <c r="PIY143" s="181"/>
      <c r="PIZ143" s="181"/>
      <c r="PJA143" s="181"/>
      <c r="PJB143" s="181"/>
      <c r="PJC143" s="181"/>
      <c r="PJD143" s="181"/>
      <c r="PJE143" s="181"/>
      <c r="PJF143" s="181"/>
      <c r="PJG143" s="181"/>
      <c r="PJH143" s="181"/>
      <c r="PJI143" s="181"/>
      <c r="PJJ143" s="181"/>
      <c r="PJK143" s="181"/>
      <c r="PJL143" s="181"/>
      <c r="PJM143" s="181"/>
      <c r="PJN143" s="181"/>
      <c r="PJO143" s="181"/>
      <c r="PJP143" s="181"/>
      <c r="PJQ143" s="181"/>
      <c r="PJR143" s="181"/>
      <c r="PJS143" s="181"/>
      <c r="PJT143" s="181"/>
      <c r="PJU143" s="181"/>
      <c r="PJV143" s="181"/>
      <c r="PJW143" s="181"/>
      <c r="PJX143" s="181"/>
      <c r="PJY143" s="181"/>
      <c r="PJZ143" s="181"/>
      <c r="PKA143" s="181"/>
      <c r="PKB143" s="181"/>
      <c r="PKC143" s="181"/>
      <c r="PKD143" s="181"/>
      <c r="PKE143" s="181"/>
      <c r="PKF143" s="181"/>
      <c r="PKG143" s="181"/>
      <c r="PKH143" s="181"/>
      <c r="PKI143" s="181"/>
      <c r="PKJ143" s="181"/>
      <c r="PKK143" s="181"/>
      <c r="PKL143" s="181"/>
      <c r="PKM143" s="181"/>
      <c r="PKN143" s="181"/>
      <c r="PKO143" s="181"/>
      <c r="PKP143" s="181"/>
      <c r="PKQ143" s="181"/>
      <c r="PKR143" s="181"/>
      <c r="PKS143" s="181"/>
      <c r="PKT143" s="181"/>
      <c r="PKU143" s="181"/>
      <c r="PKV143" s="181"/>
      <c r="PKW143" s="181"/>
      <c r="PKX143" s="181"/>
      <c r="PKY143" s="181"/>
      <c r="PKZ143" s="181"/>
      <c r="PLA143" s="181"/>
      <c r="PLB143" s="181"/>
      <c r="PLC143" s="181"/>
      <c r="PLD143" s="181"/>
      <c r="PLE143" s="181"/>
      <c r="PLF143" s="181"/>
      <c r="PLG143" s="181"/>
      <c r="PLH143" s="181"/>
      <c r="PLI143" s="181"/>
      <c r="PLJ143" s="181"/>
      <c r="PLK143" s="181"/>
      <c r="PLL143" s="181"/>
      <c r="PLM143" s="181"/>
      <c r="PLN143" s="181"/>
      <c r="PLO143" s="181"/>
      <c r="PLP143" s="181"/>
      <c r="PLQ143" s="181"/>
      <c r="PLR143" s="181"/>
      <c r="PLS143" s="181"/>
      <c r="PLT143" s="181"/>
      <c r="PLU143" s="181"/>
      <c r="PLV143" s="181"/>
      <c r="PLW143" s="181"/>
      <c r="PLX143" s="181"/>
      <c r="PLY143" s="181"/>
      <c r="PLZ143" s="181"/>
      <c r="PMA143" s="181"/>
      <c r="PMB143" s="181"/>
      <c r="PMC143" s="181"/>
      <c r="PMD143" s="181"/>
      <c r="PME143" s="181"/>
      <c r="PMF143" s="181"/>
      <c r="PMG143" s="181"/>
      <c r="PMH143" s="181"/>
      <c r="PMI143" s="181"/>
      <c r="PMJ143" s="181"/>
      <c r="PMK143" s="181"/>
      <c r="PML143" s="181"/>
      <c r="PMM143" s="181"/>
      <c r="PMN143" s="181"/>
      <c r="PMO143" s="181"/>
      <c r="PMP143" s="181"/>
      <c r="PMQ143" s="181"/>
      <c r="PMR143" s="181"/>
      <c r="PMS143" s="181"/>
      <c r="PMT143" s="181"/>
      <c r="PMU143" s="181"/>
      <c r="PMV143" s="181"/>
      <c r="PMW143" s="181"/>
      <c r="PMX143" s="181"/>
      <c r="PMY143" s="181"/>
      <c r="PMZ143" s="181"/>
      <c r="PNA143" s="181"/>
      <c r="PNB143" s="181"/>
      <c r="PNC143" s="181"/>
      <c r="PND143" s="181"/>
      <c r="PNE143" s="181"/>
      <c r="PNF143" s="181"/>
      <c r="PNG143" s="181"/>
      <c r="PNH143" s="181"/>
      <c r="PNI143" s="181"/>
      <c r="PNJ143" s="181"/>
      <c r="PNK143" s="181"/>
      <c r="PNL143" s="181"/>
      <c r="PNM143" s="181"/>
      <c r="PNN143" s="181"/>
      <c r="PNO143" s="181"/>
      <c r="PNP143" s="181"/>
      <c r="PNQ143" s="181"/>
      <c r="PNR143" s="181"/>
      <c r="PNS143" s="181"/>
      <c r="PNT143" s="181"/>
      <c r="PNU143" s="181"/>
      <c r="PNV143" s="181"/>
      <c r="PNW143" s="181"/>
      <c r="PNX143" s="181"/>
      <c r="PNY143" s="181"/>
      <c r="PNZ143" s="181"/>
      <c r="POA143" s="181"/>
      <c r="POB143" s="181"/>
      <c r="POC143" s="181"/>
      <c r="POD143" s="181"/>
      <c r="POE143" s="181"/>
      <c r="POF143" s="181"/>
      <c r="POG143" s="181"/>
      <c r="POH143" s="181"/>
      <c r="POI143" s="181"/>
      <c r="POJ143" s="181"/>
      <c r="POK143" s="181"/>
      <c r="POL143" s="181"/>
      <c r="POM143" s="181"/>
      <c r="PON143" s="181"/>
      <c r="POO143" s="181"/>
      <c r="POP143" s="181"/>
      <c r="POQ143" s="181"/>
      <c r="POR143" s="181"/>
      <c r="POS143" s="181"/>
      <c r="POT143" s="181"/>
      <c r="POU143" s="181"/>
      <c r="POV143" s="181"/>
      <c r="POW143" s="181"/>
      <c r="POX143" s="181"/>
      <c r="POY143" s="181"/>
      <c r="POZ143" s="181"/>
      <c r="PPA143" s="181"/>
      <c r="PPB143" s="181"/>
      <c r="PPC143" s="181"/>
      <c r="PPD143" s="181"/>
      <c r="PPE143" s="181"/>
      <c r="PPF143" s="181"/>
      <c r="PPG143" s="181"/>
      <c r="PPH143" s="181"/>
      <c r="PPI143" s="181"/>
      <c r="PPJ143" s="181"/>
      <c r="PPK143" s="181"/>
      <c r="PPL143" s="181"/>
      <c r="PPM143" s="181"/>
      <c r="PPN143" s="181"/>
      <c r="PPO143" s="181"/>
      <c r="PPP143" s="181"/>
      <c r="PPQ143" s="181"/>
      <c r="PPR143" s="181"/>
      <c r="PPS143" s="181"/>
      <c r="PPT143" s="181"/>
      <c r="PPU143" s="181"/>
      <c r="PPV143" s="181"/>
      <c r="PPW143" s="181"/>
      <c r="PPX143" s="181"/>
      <c r="PPY143" s="181"/>
      <c r="PPZ143" s="181"/>
      <c r="PQA143" s="181"/>
      <c r="PQB143" s="181"/>
      <c r="PQC143" s="181"/>
      <c r="PQD143" s="181"/>
      <c r="PQE143" s="181"/>
      <c r="PQF143" s="181"/>
      <c r="PQG143" s="181"/>
      <c r="PQH143" s="181"/>
      <c r="PQI143" s="181"/>
      <c r="PQJ143" s="181"/>
      <c r="PQK143" s="181"/>
      <c r="PQL143" s="181"/>
      <c r="PQM143" s="181"/>
      <c r="PQN143" s="181"/>
      <c r="PQO143" s="181"/>
      <c r="PQP143" s="181"/>
      <c r="PQQ143" s="181"/>
      <c r="PQR143" s="181"/>
      <c r="PQS143" s="181"/>
      <c r="PQT143" s="181"/>
      <c r="PQU143" s="181"/>
      <c r="PQV143" s="181"/>
      <c r="PQW143" s="181"/>
      <c r="PQX143" s="181"/>
      <c r="PQY143" s="181"/>
      <c r="PQZ143" s="181"/>
      <c r="PRA143" s="181"/>
      <c r="PRB143" s="181"/>
      <c r="PRC143" s="181"/>
      <c r="PRD143" s="181"/>
      <c r="PRE143" s="181"/>
      <c r="PRF143" s="181"/>
      <c r="PRG143" s="181"/>
      <c r="PRH143" s="181"/>
      <c r="PRI143" s="181"/>
      <c r="PRJ143" s="181"/>
      <c r="PRK143" s="181"/>
      <c r="PRL143" s="181"/>
      <c r="PRM143" s="181"/>
      <c r="PRN143" s="181"/>
      <c r="PRO143" s="181"/>
      <c r="PRP143" s="181"/>
      <c r="PRQ143" s="181"/>
      <c r="PRR143" s="181"/>
      <c r="PRS143" s="181"/>
      <c r="PRT143" s="181"/>
      <c r="PRU143" s="181"/>
      <c r="PRV143" s="181"/>
      <c r="PRW143" s="181"/>
      <c r="PRX143" s="181"/>
      <c r="PRY143" s="181"/>
      <c r="PRZ143" s="181"/>
      <c r="PSA143" s="181"/>
      <c r="PSB143" s="181"/>
      <c r="PSC143" s="181"/>
      <c r="PSD143" s="181"/>
      <c r="PSE143" s="181"/>
      <c r="PSF143" s="181"/>
      <c r="PSG143" s="181"/>
      <c r="PSH143" s="181"/>
      <c r="PSI143" s="181"/>
      <c r="PSJ143" s="181"/>
      <c r="PSK143" s="181"/>
      <c r="PSL143" s="181"/>
      <c r="PSM143" s="181"/>
      <c r="PSN143" s="181"/>
      <c r="PSO143" s="181"/>
      <c r="PSP143" s="181"/>
      <c r="PSQ143" s="181"/>
      <c r="PSR143" s="181"/>
      <c r="PSS143" s="181"/>
      <c r="PST143" s="181"/>
      <c r="PSU143" s="181"/>
      <c r="PSV143" s="181"/>
      <c r="PSW143" s="181"/>
      <c r="PSX143" s="181"/>
      <c r="PSY143" s="181"/>
      <c r="PSZ143" s="181"/>
      <c r="PTA143" s="181"/>
      <c r="PTB143" s="181"/>
      <c r="PTC143" s="181"/>
      <c r="PTD143" s="181"/>
      <c r="PTE143" s="181"/>
      <c r="PTF143" s="181"/>
      <c r="PTG143" s="181"/>
      <c r="PTH143" s="181"/>
      <c r="PTI143" s="181"/>
      <c r="PTJ143" s="181"/>
      <c r="PTK143" s="181"/>
      <c r="PTL143" s="181"/>
      <c r="PTM143" s="181"/>
      <c r="PTN143" s="181"/>
      <c r="PTO143" s="181"/>
      <c r="PTP143" s="181"/>
      <c r="PTQ143" s="181"/>
      <c r="PTR143" s="181"/>
      <c r="PTS143" s="181"/>
      <c r="PTT143" s="181"/>
      <c r="PTU143" s="181"/>
      <c r="PTV143" s="181"/>
      <c r="PTW143" s="181"/>
      <c r="PTX143" s="181"/>
      <c r="PTY143" s="181"/>
      <c r="PTZ143" s="181"/>
      <c r="PUA143" s="181"/>
      <c r="PUB143" s="181"/>
      <c r="PUC143" s="181"/>
      <c r="PUD143" s="181"/>
      <c r="PUE143" s="181"/>
      <c r="PUF143" s="181"/>
      <c r="PUG143" s="181"/>
      <c r="PUH143" s="181"/>
      <c r="PUI143" s="181"/>
      <c r="PUJ143" s="181"/>
      <c r="PUK143" s="181"/>
      <c r="PUL143" s="181"/>
      <c r="PUM143" s="181"/>
      <c r="PUN143" s="181"/>
      <c r="PUO143" s="181"/>
      <c r="PUP143" s="181"/>
      <c r="PUQ143" s="181"/>
      <c r="PUR143" s="181"/>
      <c r="PUS143" s="181"/>
      <c r="PUT143" s="181"/>
      <c r="PUU143" s="181"/>
      <c r="PUV143" s="181"/>
      <c r="PUW143" s="181"/>
      <c r="PUX143" s="181"/>
      <c r="PUY143" s="181"/>
      <c r="PUZ143" s="181"/>
      <c r="PVA143" s="181"/>
      <c r="PVB143" s="181"/>
      <c r="PVC143" s="181"/>
      <c r="PVD143" s="181"/>
      <c r="PVE143" s="181"/>
      <c r="PVF143" s="181"/>
      <c r="PVG143" s="181"/>
      <c r="PVH143" s="181"/>
      <c r="PVI143" s="181"/>
      <c r="PVJ143" s="181"/>
      <c r="PVK143" s="181"/>
      <c r="PVL143" s="181"/>
      <c r="PVM143" s="181"/>
      <c r="PVN143" s="181"/>
      <c r="PVO143" s="181"/>
      <c r="PVP143" s="181"/>
      <c r="PVQ143" s="181"/>
      <c r="PVR143" s="181"/>
      <c r="PVS143" s="181"/>
      <c r="PVT143" s="181"/>
      <c r="PVU143" s="181"/>
      <c r="PVV143" s="181"/>
      <c r="PVW143" s="181"/>
      <c r="PVX143" s="181"/>
      <c r="PVY143" s="181"/>
      <c r="PVZ143" s="181"/>
      <c r="PWA143" s="181"/>
      <c r="PWB143" s="181"/>
      <c r="PWC143" s="181"/>
      <c r="PWD143" s="181"/>
      <c r="PWE143" s="181"/>
      <c r="PWF143" s="181"/>
      <c r="PWG143" s="181"/>
      <c r="PWH143" s="181"/>
      <c r="PWI143" s="181"/>
      <c r="PWJ143" s="181"/>
      <c r="PWK143" s="181"/>
      <c r="PWL143" s="181"/>
      <c r="PWM143" s="181"/>
      <c r="PWN143" s="181"/>
      <c r="PWO143" s="181"/>
      <c r="PWP143" s="181"/>
      <c r="PWQ143" s="181"/>
      <c r="PWR143" s="181"/>
      <c r="PWS143" s="181"/>
      <c r="PWT143" s="181"/>
      <c r="PWU143" s="181"/>
      <c r="PWV143" s="181"/>
      <c r="PWW143" s="181"/>
      <c r="PWX143" s="181"/>
      <c r="PWY143" s="181"/>
      <c r="PWZ143" s="181"/>
      <c r="PXA143" s="181"/>
      <c r="PXB143" s="181"/>
      <c r="PXC143" s="181"/>
      <c r="PXD143" s="181"/>
      <c r="PXE143" s="181"/>
      <c r="PXF143" s="181"/>
      <c r="PXG143" s="181"/>
      <c r="PXH143" s="181"/>
      <c r="PXI143" s="181"/>
      <c r="PXJ143" s="181"/>
      <c r="PXK143" s="181"/>
      <c r="PXL143" s="181"/>
      <c r="PXM143" s="181"/>
      <c r="PXN143" s="181"/>
      <c r="PXO143" s="181"/>
      <c r="PXP143" s="181"/>
      <c r="PXQ143" s="181"/>
      <c r="PXR143" s="181"/>
      <c r="PXS143" s="181"/>
      <c r="PXT143" s="181"/>
      <c r="PXU143" s="181"/>
      <c r="PXV143" s="181"/>
      <c r="PXW143" s="181"/>
      <c r="PXX143" s="181"/>
      <c r="PXY143" s="181"/>
      <c r="PXZ143" s="181"/>
      <c r="PYA143" s="181"/>
      <c r="PYB143" s="181"/>
      <c r="PYC143" s="181"/>
      <c r="PYD143" s="181"/>
      <c r="PYE143" s="181"/>
      <c r="PYF143" s="181"/>
      <c r="PYG143" s="181"/>
      <c r="PYH143" s="181"/>
      <c r="PYI143" s="181"/>
      <c r="PYJ143" s="181"/>
      <c r="PYK143" s="181"/>
      <c r="PYL143" s="181"/>
      <c r="PYM143" s="181"/>
      <c r="PYN143" s="181"/>
      <c r="PYO143" s="181"/>
      <c r="PYP143" s="181"/>
      <c r="PYQ143" s="181"/>
      <c r="PYR143" s="181"/>
      <c r="PYS143" s="181"/>
      <c r="PYT143" s="181"/>
      <c r="PYU143" s="181"/>
      <c r="PYV143" s="181"/>
      <c r="PYW143" s="181"/>
      <c r="PYX143" s="181"/>
      <c r="PYY143" s="181"/>
      <c r="PYZ143" s="181"/>
      <c r="PZA143" s="181"/>
      <c r="PZB143" s="181"/>
      <c r="PZC143" s="181"/>
      <c r="PZD143" s="181"/>
      <c r="PZE143" s="181"/>
      <c r="PZF143" s="181"/>
      <c r="PZG143" s="181"/>
      <c r="PZH143" s="181"/>
      <c r="PZI143" s="181"/>
      <c r="PZJ143" s="181"/>
      <c r="PZK143" s="181"/>
      <c r="PZL143" s="181"/>
      <c r="PZM143" s="181"/>
      <c r="PZN143" s="181"/>
      <c r="PZO143" s="181"/>
      <c r="PZP143" s="181"/>
      <c r="PZQ143" s="181"/>
      <c r="PZR143" s="181"/>
      <c r="PZS143" s="181"/>
      <c r="PZT143" s="181"/>
      <c r="PZU143" s="181"/>
      <c r="PZV143" s="181"/>
      <c r="PZW143" s="181"/>
      <c r="PZX143" s="181"/>
      <c r="PZY143" s="181"/>
      <c r="PZZ143" s="181"/>
      <c r="QAA143" s="181"/>
      <c r="QAB143" s="181"/>
      <c r="QAC143" s="181"/>
      <c r="QAD143" s="181"/>
      <c r="QAE143" s="181"/>
      <c r="QAF143" s="181"/>
      <c r="QAG143" s="181"/>
      <c r="QAH143" s="181"/>
      <c r="QAI143" s="181"/>
      <c r="QAJ143" s="181"/>
      <c r="QAK143" s="181"/>
      <c r="QAL143" s="181"/>
      <c r="QAM143" s="181"/>
      <c r="QAN143" s="181"/>
      <c r="QAO143" s="181"/>
      <c r="QAP143" s="181"/>
      <c r="QAQ143" s="181"/>
      <c r="QAR143" s="181"/>
      <c r="QAS143" s="181"/>
      <c r="QAT143" s="181"/>
      <c r="QAU143" s="181"/>
      <c r="QAV143" s="181"/>
      <c r="QAW143" s="181"/>
      <c r="QAX143" s="181"/>
      <c r="QAY143" s="181"/>
      <c r="QAZ143" s="181"/>
      <c r="QBA143" s="181"/>
      <c r="QBB143" s="181"/>
      <c r="QBC143" s="181"/>
      <c r="QBD143" s="181"/>
      <c r="QBE143" s="181"/>
      <c r="QBF143" s="181"/>
      <c r="QBG143" s="181"/>
      <c r="QBH143" s="181"/>
      <c r="QBI143" s="181"/>
      <c r="QBJ143" s="181"/>
      <c r="QBK143" s="181"/>
      <c r="QBL143" s="181"/>
      <c r="QBM143" s="181"/>
      <c r="QBN143" s="181"/>
      <c r="QBO143" s="181"/>
      <c r="QBP143" s="181"/>
      <c r="QBQ143" s="181"/>
      <c r="QBR143" s="181"/>
      <c r="QBS143" s="181"/>
      <c r="QBT143" s="181"/>
      <c r="QBU143" s="181"/>
      <c r="QBV143" s="181"/>
      <c r="QBW143" s="181"/>
      <c r="QBX143" s="181"/>
      <c r="QBY143" s="181"/>
      <c r="QBZ143" s="181"/>
      <c r="QCA143" s="181"/>
      <c r="QCB143" s="181"/>
      <c r="QCC143" s="181"/>
      <c r="QCD143" s="181"/>
      <c r="QCE143" s="181"/>
      <c r="QCF143" s="181"/>
      <c r="QCG143" s="181"/>
      <c r="QCH143" s="181"/>
      <c r="QCI143" s="181"/>
      <c r="QCJ143" s="181"/>
      <c r="QCK143" s="181"/>
      <c r="QCL143" s="181"/>
      <c r="QCM143" s="181"/>
      <c r="QCN143" s="181"/>
      <c r="QCO143" s="181"/>
      <c r="QCP143" s="181"/>
      <c r="QCQ143" s="181"/>
      <c r="QCR143" s="181"/>
      <c r="QCS143" s="181"/>
      <c r="QCT143" s="181"/>
      <c r="QCU143" s="181"/>
      <c r="QCV143" s="181"/>
      <c r="QCW143" s="181"/>
      <c r="QCX143" s="181"/>
      <c r="QCY143" s="181"/>
      <c r="QCZ143" s="181"/>
      <c r="QDA143" s="181"/>
      <c r="QDB143" s="181"/>
      <c r="QDC143" s="181"/>
      <c r="QDD143" s="181"/>
      <c r="QDE143" s="181"/>
      <c r="QDF143" s="181"/>
      <c r="QDG143" s="181"/>
      <c r="QDH143" s="181"/>
      <c r="QDI143" s="181"/>
      <c r="QDJ143" s="181"/>
      <c r="QDK143" s="181"/>
      <c r="QDL143" s="181"/>
      <c r="QDM143" s="181"/>
      <c r="QDN143" s="181"/>
      <c r="QDO143" s="181"/>
      <c r="QDP143" s="181"/>
      <c r="QDQ143" s="181"/>
      <c r="QDR143" s="181"/>
      <c r="QDS143" s="181"/>
      <c r="QDT143" s="181"/>
      <c r="QDU143" s="181"/>
      <c r="QDV143" s="181"/>
      <c r="QDW143" s="181"/>
      <c r="QDX143" s="181"/>
      <c r="QDY143" s="181"/>
      <c r="QDZ143" s="181"/>
      <c r="QEA143" s="181"/>
      <c r="QEB143" s="181"/>
      <c r="QEC143" s="181"/>
      <c r="QED143" s="181"/>
      <c r="QEE143" s="181"/>
      <c r="QEF143" s="181"/>
      <c r="QEG143" s="181"/>
      <c r="QEH143" s="181"/>
      <c r="QEI143" s="181"/>
      <c r="QEJ143" s="181"/>
      <c r="QEK143" s="181"/>
      <c r="QEL143" s="181"/>
      <c r="QEM143" s="181"/>
      <c r="QEN143" s="181"/>
      <c r="QEO143" s="181"/>
      <c r="QEP143" s="181"/>
      <c r="QEQ143" s="181"/>
      <c r="QER143" s="181"/>
      <c r="QES143" s="181"/>
      <c r="QET143" s="181"/>
      <c r="QEU143" s="181"/>
      <c r="QEV143" s="181"/>
      <c r="QEW143" s="181"/>
      <c r="QEX143" s="181"/>
      <c r="QEY143" s="181"/>
      <c r="QEZ143" s="181"/>
      <c r="QFA143" s="181"/>
      <c r="QFB143" s="181"/>
      <c r="QFC143" s="181"/>
      <c r="QFD143" s="181"/>
      <c r="QFE143" s="181"/>
      <c r="QFF143" s="181"/>
      <c r="QFG143" s="181"/>
      <c r="QFH143" s="181"/>
      <c r="QFI143" s="181"/>
      <c r="QFJ143" s="181"/>
      <c r="QFK143" s="181"/>
      <c r="QFL143" s="181"/>
      <c r="QFM143" s="181"/>
      <c r="QFN143" s="181"/>
      <c r="QFO143" s="181"/>
      <c r="QFP143" s="181"/>
      <c r="QFQ143" s="181"/>
      <c r="QFR143" s="181"/>
      <c r="QFS143" s="181"/>
      <c r="QFT143" s="181"/>
      <c r="QFU143" s="181"/>
      <c r="QFV143" s="181"/>
      <c r="QFW143" s="181"/>
      <c r="QFX143" s="181"/>
      <c r="QFY143" s="181"/>
      <c r="QFZ143" s="181"/>
      <c r="QGA143" s="181"/>
      <c r="QGB143" s="181"/>
      <c r="QGC143" s="181"/>
      <c r="QGD143" s="181"/>
      <c r="QGE143" s="181"/>
      <c r="QGF143" s="181"/>
      <c r="QGG143" s="181"/>
      <c r="QGH143" s="181"/>
      <c r="QGI143" s="181"/>
      <c r="QGJ143" s="181"/>
      <c r="QGK143" s="181"/>
      <c r="QGL143" s="181"/>
      <c r="QGM143" s="181"/>
      <c r="QGN143" s="181"/>
      <c r="QGO143" s="181"/>
      <c r="QGP143" s="181"/>
      <c r="QGQ143" s="181"/>
      <c r="QGR143" s="181"/>
      <c r="QGS143" s="181"/>
      <c r="QGT143" s="181"/>
      <c r="QGU143" s="181"/>
      <c r="QGV143" s="181"/>
      <c r="QGW143" s="181"/>
      <c r="QGX143" s="181"/>
      <c r="QGY143" s="181"/>
      <c r="QGZ143" s="181"/>
      <c r="QHA143" s="181"/>
      <c r="QHB143" s="181"/>
      <c r="QHC143" s="181"/>
      <c r="QHD143" s="181"/>
      <c r="QHE143" s="181"/>
      <c r="QHF143" s="181"/>
      <c r="QHG143" s="181"/>
      <c r="QHH143" s="181"/>
      <c r="QHI143" s="181"/>
      <c r="QHJ143" s="181"/>
      <c r="QHK143" s="181"/>
      <c r="QHL143" s="181"/>
      <c r="QHM143" s="181"/>
      <c r="QHN143" s="181"/>
      <c r="QHO143" s="181"/>
      <c r="QHP143" s="181"/>
      <c r="QHQ143" s="181"/>
      <c r="QHR143" s="181"/>
      <c r="QHS143" s="181"/>
      <c r="QHT143" s="181"/>
      <c r="QHU143" s="181"/>
      <c r="QHV143" s="181"/>
      <c r="QHW143" s="181"/>
      <c r="QHX143" s="181"/>
      <c r="QHY143" s="181"/>
      <c r="QHZ143" s="181"/>
      <c r="QIA143" s="181"/>
      <c r="QIB143" s="181"/>
      <c r="QIC143" s="181"/>
      <c r="QID143" s="181"/>
      <c r="QIE143" s="181"/>
      <c r="QIF143" s="181"/>
      <c r="QIG143" s="181"/>
      <c r="QIH143" s="181"/>
      <c r="QII143" s="181"/>
      <c r="QIJ143" s="181"/>
      <c r="QIK143" s="181"/>
      <c r="QIL143" s="181"/>
      <c r="QIM143" s="181"/>
      <c r="QIN143" s="181"/>
      <c r="QIO143" s="181"/>
      <c r="QIP143" s="181"/>
      <c r="QIQ143" s="181"/>
      <c r="QIR143" s="181"/>
      <c r="QIS143" s="181"/>
      <c r="QIT143" s="181"/>
      <c r="QIU143" s="181"/>
      <c r="QIV143" s="181"/>
      <c r="QIW143" s="181"/>
      <c r="QIX143" s="181"/>
      <c r="QIY143" s="181"/>
      <c r="QIZ143" s="181"/>
      <c r="QJA143" s="181"/>
      <c r="QJB143" s="181"/>
      <c r="QJC143" s="181"/>
      <c r="QJD143" s="181"/>
      <c r="QJE143" s="181"/>
      <c r="QJF143" s="181"/>
      <c r="QJG143" s="181"/>
      <c r="QJH143" s="181"/>
      <c r="QJI143" s="181"/>
      <c r="QJJ143" s="181"/>
      <c r="QJK143" s="181"/>
      <c r="QJL143" s="181"/>
      <c r="QJM143" s="181"/>
      <c r="QJN143" s="181"/>
      <c r="QJO143" s="181"/>
      <c r="QJP143" s="181"/>
      <c r="QJQ143" s="181"/>
      <c r="QJR143" s="181"/>
      <c r="QJS143" s="181"/>
      <c r="QJT143" s="181"/>
      <c r="QJU143" s="181"/>
      <c r="QJV143" s="181"/>
      <c r="QJW143" s="181"/>
      <c r="QJX143" s="181"/>
      <c r="QJY143" s="181"/>
      <c r="QJZ143" s="181"/>
      <c r="QKA143" s="181"/>
      <c r="QKB143" s="181"/>
      <c r="QKC143" s="181"/>
      <c r="QKD143" s="181"/>
      <c r="QKE143" s="181"/>
      <c r="QKF143" s="181"/>
      <c r="QKG143" s="181"/>
      <c r="QKH143" s="181"/>
      <c r="QKI143" s="181"/>
      <c r="QKJ143" s="181"/>
      <c r="QKK143" s="181"/>
      <c r="QKL143" s="181"/>
      <c r="QKM143" s="181"/>
      <c r="QKN143" s="181"/>
      <c r="QKO143" s="181"/>
      <c r="QKP143" s="181"/>
      <c r="QKQ143" s="181"/>
      <c r="QKR143" s="181"/>
      <c r="QKS143" s="181"/>
      <c r="QKT143" s="181"/>
      <c r="QKU143" s="181"/>
      <c r="QKV143" s="181"/>
      <c r="QKW143" s="181"/>
      <c r="QKX143" s="181"/>
      <c r="QKY143" s="181"/>
      <c r="QKZ143" s="181"/>
      <c r="QLA143" s="181"/>
      <c r="QLB143" s="181"/>
      <c r="QLC143" s="181"/>
      <c r="QLD143" s="181"/>
      <c r="QLE143" s="181"/>
      <c r="QLF143" s="181"/>
      <c r="QLG143" s="181"/>
      <c r="QLH143" s="181"/>
      <c r="QLI143" s="181"/>
      <c r="QLJ143" s="181"/>
      <c r="QLK143" s="181"/>
      <c r="QLL143" s="181"/>
      <c r="QLM143" s="181"/>
      <c r="QLN143" s="181"/>
      <c r="QLO143" s="181"/>
      <c r="QLP143" s="181"/>
      <c r="QLQ143" s="181"/>
      <c r="QLR143" s="181"/>
      <c r="QLS143" s="181"/>
      <c r="QLT143" s="181"/>
      <c r="QLU143" s="181"/>
      <c r="QLV143" s="181"/>
      <c r="QLW143" s="181"/>
      <c r="QLX143" s="181"/>
      <c r="QLY143" s="181"/>
      <c r="QLZ143" s="181"/>
      <c r="QMA143" s="181"/>
      <c r="QMB143" s="181"/>
      <c r="QMC143" s="181"/>
      <c r="QMD143" s="181"/>
      <c r="QME143" s="181"/>
      <c r="QMF143" s="181"/>
      <c r="QMG143" s="181"/>
      <c r="QMH143" s="181"/>
      <c r="QMI143" s="181"/>
      <c r="QMJ143" s="181"/>
      <c r="QMK143" s="181"/>
      <c r="QML143" s="181"/>
      <c r="QMM143" s="181"/>
      <c r="QMN143" s="181"/>
      <c r="QMO143" s="181"/>
      <c r="QMP143" s="181"/>
      <c r="QMQ143" s="181"/>
      <c r="QMR143" s="181"/>
      <c r="QMS143" s="181"/>
      <c r="QMT143" s="181"/>
      <c r="QMU143" s="181"/>
      <c r="QMV143" s="181"/>
      <c r="QMW143" s="181"/>
      <c r="QMX143" s="181"/>
      <c r="QMY143" s="181"/>
      <c r="QMZ143" s="181"/>
      <c r="QNA143" s="181"/>
      <c r="QNB143" s="181"/>
      <c r="QNC143" s="181"/>
      <c r="QND143" s="181"/>
      <c r="QNE143" s="181"/>
      <c r="QNF143" s="181"/>
      <c r="QNG143" s="181"/>
      <c r="QNH143" s="181"/>
      <c r="QNI143" s="181"/>
      <c r="QNJ143" s="181"/>
      <c r="QNK143" s="181"/>
      <c r="QNL143" s="181"/>
      <c r="QNM143" s="181"/>
      <c r="QNN143" s="181"/>
      <c r="QNO143" s="181"/>
      <c r="QNP143" s="181"/>
      <c r="QNQ143" s="181"/>
      <c r="QNR143" s="181"/>
      <c r="QNS143" s="181"/>
      <c r="QNT143" s="181"/>
      <c r="QNU143" s="181"/>
      <c r="QNV143" s="181"/>
      <c r="QNW143" s="181"/>
      <c r="QNX143" s="181"/>
      <c r="QNY143" s="181"/>
      <c r="QNZ143" s="181"/>
      <c r="QOA143" s="181"/>
      <c r="QOB143" s="181"/>
      <c r="QOC143" s="181"/>
      <c r="QOD143" s="181"/>
      <c r="QOE143" s="181"/>
      <c r="QOF143" s="181"/>
      <c r="QOG143" s="181"/>
      <c r="QOH143" s="181"/>
      <c r="QOI143" s="181"/>
      <c r="QOJ143" s="181"/>
      <c r="QOK143" s="181"/>
      <c r="QOL143" s="181"/>
      <c r="QOM143" s="181"/>
      <c r="QON143" s="181"/>
      <c r="QOO143" s="181"/>
      <c r="QOP143" s="181"/>
      <c r="QOQ143" s="181"/>
      <c r="QOR143" s="181"/>
      <c r="QOS143" s="181"/>
      <c r="QOT143" s="181"/>
      <c r="QOU143" s="181"/>
      <c r="QOV143" s="181"/>
      <c r="QOW143" s="181"/>
      <c r="QOX143" s="181"/>
      <c r="QOY143" s="181"/>
      <c r="QOZ143" s="181"/>
      <c r="QPA143" s="181"/>
      <c r="QPB143" s="181"/>
      <c r="QPC143" s="181"/>
      <c r="QPD143" s="181"/>
      <c r="QPE143" s="181"/>
      <c r="QPF143" s="181"/>
      <c r="QPG143" s="181"/>
      <c r="QPH143" s="181"/>
      <c r="QPI143" s="181"/>
      <c r="QPJ143" s="181"/>
      <c r="QPK143" s="181"/>
      <c r="QPL143" s="181"/>
      <c r="QPM143" s="181"/>
      <c r="QPN143" s="181"/>
      <c r="QPO143" s="181"/>
      <c r="QPP143" s="181"/>
      <c r="QPQ143" s="181"/>
      <c r="QPR143" s="181"/>
      <c r="QPS143" s="181"/>
      <c r="QPT143" s="181"/>
      <c r="QPU143" s="181"/>
      <c r="QPV143" s="181"/>
      <c r="QPW143" s="181"/>
      <c r="QPX143" s="181"/>
      <c r="QPY143" s="181"/>
      <c r="QPZ143" s="181"/>
      <c r="QQA143" s="181"/>
      <c r="QQB143" s="181"/>
      <c r="QQC143" s="181"/>
      <c r="QQD143" s="181"/>
      <c r="QQE143" s="181"/>
      <c r="QQF143" s="181"/>
      <c r="QQG143" s="181"/>
      <c r="QQH143" s="181"/>
      <c r="QQI143" s="181"/>
      <c r="QQJ143" s="181"/>
      <c r="QQK143" s="181"/>
      <c r="QQL143" s="181"/>
      <c r="QQM143" s="181"/>
      <c r="QQN143" s="181"/>
      <c r="QQO143" s="181"/>
      <c r="QQP143" s="181"/>
      <c r="QQQ143" s="181"/>
      <c r="QQR143" s="181"/>
      <c r="QQS143" s="181"/>
      <c r="QQT143" s="181"/>
      <c r="QQU143" s="181"/>
      <c r="QQV143" s="181"/>
      <c r="QQW143" s="181"/>
      <c r="QQX143" s="181"/>
      <c r="QQY143" s="181"/>
      <c r="QQZ143" s="181"/>
      <c r="QRA143" s="181"/>
      <c r="QRB143" s="181"/>
      <c r="QRC143" s="181"/>
      <c r="QRD143" s="181"/>
      <c r="QRE143" s="181"/>
      <c r="QRF143" s="181"/>
      <c r="QRG143" s="181"/>
      <c r="QRH143" s="181"/>
      <c r="QRI143" s="181"/>
      <c r="QRJ143" s="181"/>
      <c r="QRK143" s="181"/>
      <c r="QRL143" s="181"/>
      <c r="QRM143" s="181"/>
      <c r="QRN143" s="181"/>
      <c r="QRO143" s="181"/>
      <c r="QRP143" s="181"/>
      <c r="QRQ143" s="181"/>
      <c r="QRR143" s="181"/>
      <c r="QRS143" s="181"/>
      <c r="QRT143" s="181"/>
      <c r="QRU143" s="181"/>
      <c r="QRV143" s="181"/>
      <c r="QRW143" s="181"/>
      <c r="QRX143" s="181"/>
      <c r="QRY143" s="181"/>
      <c r="QRZ143" s="181"/>
      <c r="QSA143" s="181"/>
      <c r="QSB143" s="181"/>
      <c r="QSC143" s="181"/>
      <c r="QSD143" s="181"/>
      <c r="QSE143" s="181"/>
      <c r="QSF143" s="181"/>
      <c r="QSG143" s="181"/>
      <c r="QSH143" s="181"/>
      <c r="QSI143" s="181"/>
      <c r="QSJ143" s="181"/>
      <c r="QSK143" s="181"/>
      <c r="QSL143" s="181"/>
      <c r="QSM143" s="181"/>
      <c r="QSN143" s="181"/>
      <c r="QSO143" s="181"/>
      <c r="QSP143" s="181"/>
      <c r="QSQ143" s="181"/>
      <c r="QSR143" s="181"/>
      <c r="QSS143" s="181"/>
      <c r="QST143" s="181"/>
      <c r="QSU143" s="181"/>
      <c r="QSV143" s="181"/>
      <c r="QSW143" s="181"/>
      <c r="QSX143" s="181"/>
      <c r="QSY143" s="181"/>
      <c r="QSZ143" s="181"/>
      <c r="QTA143" s="181"/>
      <c r="QTB143" s="181"/>
      <c r="QTC143" s="181"/>
      <c r="QTD143" s="181"/>
      <c r="QTE143" s="181"/>
      <c r="QTF143" s="181"/>
      <c r="QTG143" s="181"/>
      <c r="QTH143" s="181"/>
      <c r="QTI143" s="181"/>
      <c r="QTJ143" s="181"/>
      <c r="QTK143" s="181"/>
      <c r="QTL143" s="181"/>
      <c r="QTM143" s="181"/>
      <c r="QTN143" s="181"/>
      <c r="QTO143" s="181"/>
      <c r="QTP143" s="181"/>
      <c r="QTQ143" s="181"/>
      <c r="QTR143" s="181"/>
      <c r="QTS143" s="181"/>
      <c r="QTT143" s="181"/>
      <c r="QTU143" s="181"/>
      <c r="QTV143" s="181"/>
      <c r="QTW143" s="181"/>
      <c r="QTX143" s="181"/>
      <c r="QTY143" s="181"/>
      <c r="QTZ143" s="181"/>
      <c r="QUA143" s="181"/>
      <c r="QUB143" s="181"/>
      <c r="QUC143" s="181"/>
      <c r="QUD143" s="181"/>
      <c r="QUE143" s="181"/>
      <c r="QUF143" s="181"/>
      <c r="QUG143" s="181"/>
      <c r="QUH143" s="181"/>
      <c r="QUI143" s="181"/>
      <c r="QUJ143" s="181"/>
      <c r="QUK143" s="181"/>
      <c r="QUL143" s="181"/>
      <c r="QUM143" s="181"/>
      <c r="QUN143" s="181"/>
      <c r="QUO143" s="181"/>
      <c r="QUP143" s="181"/>
      <c r="QUQ143" s="181"/>
      <c r="QUR143" s="181"/>
      <c r="QUS143" s="181"/>
      <c r="QUT143" s="181"/>
      <c r="QUU143" s="181"/>
      <c r="QUV143" s="181"/>
      <c r="QUW143" s="181"/>
      <c r="QUX143" s="181"/>
      <c r="QUY143" s="181"/>
      <c r="QUZ143" s="181"/>
      <c r="QVA143" s="181"/>
      <c r="QVB143" s="181"/>
      <c r="QVC143" s="181"/>
      <c r="QVD143" s="181"/>
      <c r="QVE143" s="181"/>
      <c r="QVF143" s="181"/>
      <c r="QVG143" s="181"/>
      <c r="QVH143" s="181"/>
      <c r="QVI143" s="181"/>
      <c r="QVJ143" s="181"/>
      <c r="QVK143" s="181"/>
      <c r="QVL143" s="181"/>
      <c r="QVM143" s="181"/>
      <c r="QVN143" s="181"/>
      <c r="QVO143" s="181"/>
      <c r="QVP143" s="181"/>
      <c r="QVQ143" s="181"/>
      <c r="QVR143" s="181"/>
      <c r="QVS143" s="181"/>
      <c r="QVT143" s="181"/>
      <c r="QVU143" s="181"/>
      <c r="QVV143" s="181"/>
      <c r="QVW143" s="181"/>
      <c r="QVX143" s="181"/>
      <c r="QVY143" s="181"/>
      <c r="QVZ143" s="181"/>
      <c r="QWA143" s="181"/>
      <c r="QWB143" s="181"/>
      <c r="QWC143" s="181"/>
      <c r="QWD143" s="181"/>
      <c r="QWE143" s="181"/>
      <c r="QWF143" s="181"/>
      <c r="QWG143" s="181"/>
      <c r="QWH143" s="181"/>
      <c r="QWI143" s="181"/>
      <c r="QWJ143" s="181"/>
      <c r="QWK143" s="181"/>
      <c r="QWL143" s="181"/>
      <c r="QWM143" s="181"/>
      <c r="QWN143" s="181"/>
      <c r="QWO143" s="181"/>
      <c r="QWP143" s="181"/>
      <c r="QWQ143" s="181"/>
      <c r="QWR143" s="181"/>
      <c r="QWS143" s="181"/>
      <c r="QWT143" s="181"/>
      <c r="QWU143" s="181"/>
      <c r="QWV143" s="181"/>
      <c r="QWW143" s="181"/>
      <c r="QWX143" s="181"/>
      <c r="QWY143" s="181"/>
      <c r="QWZ143" s="181"/>
      <c r="QXA143" s="181"/>
      <c r="QXB143" s="181"/>
      <c r="QXC143" s="181"/>
      <c r="QXD143" s="181"/>
      <c r="QXE143" s="181"/>
      <c r="QXF143" s="181"/>
      <c r="QXG143" s="181"/>
      <c r="QXH143" s="181"/>
      <c r="QXI143" s="181"/>
      <c r="QXJ143" s="181"/>
      <c r="QXK143" s="181"/>
      <c r="QXL143" s="181"/>
      <c r="QXM143" s="181"/>
      <c r="QXN143" s="181"/>
      <c r="QXO143" s="181"/>
      <c r="QXP143" s="181"/>
      <c r="QXQ143" s="181"/>
      <c r="QXR143" s="181"/>
      <c r="QXS143" s="181"/>
      <c r="QXT143" s="181"/>
      <c r="QXU143" s="181"/>
      <c r="QXV143" s="181"/>
      <c r="QXW143" s="181"/>
      <c r="QXX143" s="181"/>
      <c r="QXY143" s="181"/>
      <c r="QXZ143" s="181"/>
      <c r="QYA143" s="181"/>
      <c r="QYB143" s="181"/>
      <c r="QYC143" s="181"/>
      <c r="QYD143" s="181"/>
      <c r="QYE143" s="181"/>
      <c r="QYF143" s="181"/>
      <c r="QYG143" s="181"/>
      <c r="QYH143" s="181"/>
      <c r="QYI143" s="181"/>
      <c r="QYJ143" s="181"/>
      <c r="QYK143" s="181"/>
      <c r="QYL143" s="181"/>
      <c r="QYM143" s="181"/>
      <c r="QYN143" s="181"/>
      <c r="QYO143" s="181"/>
      <c r="QYP143" s="181"/>
      <c r="QYQ143" s="181"/>
      <c r="QYR143" s="181"/>
      <c r="QYS143" s="181"/>
      <c r="QYT143" s="181"/>
      <c r="QYU143" s="181"/>
      <c r="QYV143" s="181"/>
      <c r="QYW143" s="181"/>
      <c r="QYX143" s="181"/>
      <c r="QYY143" s="181"/>
      <c r="QYZ143" s="181"/>
      <c r="QZA143" s="181"/>
      <c r="QZB143" s="181"/>
      <c r="QZC143" s="181"/>
      <c r="QZD143" s="181"/>
      <c r="QZE143" s="181"/>
      <c r="QZF143" s="181"/>
      <c r="QZG143" s="181"/>
      <c r="QZH143" s="181"/>
      <c r="QZI143" s="181"/>
      <c r="QZJ143" s="181"/>
      <c r="QZK143" s="181"/>
      <c r="QZL143" s="181"/>
      <c r="QZM143" s="181"/>
      <c r="QZN143" s="181"/>
      <c r="QZO143" s="181"/>
      <c r="QZP143" s="181"/>
      <c r="QZQ143" s="181"/>
      <c r="QZR143" s="181"/>
      <c r="QZS143" s="181"/>
      <c r="QZT143" s="181"/>
      <c r="QZU143" s="181"/>
      <c r="QZV143" s="181"/>
      <c r="QZW143" s="181"/>
      <c r="QZX143" s="181"/>
      <c r="QZY143" s="181"/>
      <c r="QZZ143" s="181"/>
      <c r="RAA143" s="181"/>
      <c r="RAB143" s="181"/>
      <c r="RAC143" s="181"/>
      <c r="RAD143" s="181"/>
      <c r="RAE143" s="181"/>
      <c r="RAF143" s="181"/>
      <c r="RAG143" s="181"/>
      <c r="RAH143" s="181"/>
      <c r="RAI143" s="181"/>
      <c r="RAJ143" s="181"/>
      <c r="RAK143" s="181"/>
      <c r="RAL143" s="181"/>
      <c r="RAM143" s="181"/>
      <c r="RAN143" s="181"/>
      <c r="RAO143" s="181"/>
      <c r="RAP143" s="181"/>
      <c r="RAQ143" s="181"/>
      <c r="RAR143" s="181"/>
      <c r="RAS143" s="181"/>
      <c r="RAT143" s="181"/>
      <c r="RAU143" s="181"/>
      <c r="RAV143" s="181"/>
      <c r="RAW143" s="181"/>
      <c r="RAX143" s="181"/>
      <c r="RAY143" s="181"/>
      <c r="RAZ143" s="181"/>
      <c r="RBA143" s="181"/>
      <c r="RBB143" s="181"/>
      <c r="RBC143" s="181"/>
      <c r="RBD143" s="181"/>
      <c r="RBE143" s="181"/>
      <c r="RBF143" s="181"/>
      <c r="RBG143" s="181"/>
      <c r="RBH143" s="181"/>
      <c r="RBI143" s="181"/>
      <c r="RBJ143" s="181"/>
      <c r="RBK143" s="181"/>
      <c r="RBL143" s="181"/>
      <c r="RBM143" s="181"/>
      <c r="RBN143" s="181"/>
      <c r="RBO143" s="181"/>
      <c r="RBP143" s="181"/>
      <c r="RBQ143" s="181"/>
      <c r="RBR143" s="181"/>
      <c r="RBS143" s="181"/>
      <c r="RBT143" s="181"/>
      <c r="RBU143" s="181"/>
      <c r="RBV143" s="181"/>
      <c r="RBW143" s="181"/>
      <c r="RBX143" s="181"/>
      <c r="RBY143" s="181"/>
      <c r="RBZ143" s="181"/>
      <c r="RCA143" s="181"/>
      <c r="RCB143" s="181"/>
      <c r="RCC143" s="181"/>
      <c r="RCD143" s="181"/>
      <c r="RCE143" s="181"/>
      <c r="RCF143" s="181"/>
      <c r="RCG143" s="181"/>
      <c r="RCH143" s="181"/>
      <c r="RCI143" s="181"/>
      <c r="RCJ143" s="181"/>
      <c r="RCK143" s="181"/>
      <c r="RCL143" s="181"/>
      <c r="RCM143" s="181"/>
      <c r="RCN143" s="181"/>
      <c r="RCO143" s="181"/>
      <c r="RCP143" s="181"/>
      <c r="RCQ143" s="181"/>
      <c r="RCR143" s="181"/>
      <c r="RCS143" s="181"/>
      <c r="RCT143" s="181"/>
      <c r="RCU143" s="181"/>
      <c r="RCV143" s="181"/>
      <c r="RCW143" s="181"/>
      <c r="RCX143" s="181"/>
      <c r="RCY143" s="181"/>
      <c r="RCZ143" s="181"/>
      <c r="RDA143" s="181"/>
      <c r="RDB143" s="181"/>
      <c r="RDC143" s="181"/>
      <c r="RDD143" s="181"/>
      <c r="RDE143" s="181"/>
      <c r="RDF143" s="181"/>
      <c r="RDG143" s="181"/>
      <c r="RDH143" s="181"/>
      <c r="RDI143" s="181"/>
      <c r="RDJ143" s="181"/>
      <c r="RDK143" s="181"/>
      <c r="RDL143" s="181"/>
      <c r="RDM143" s="181"/>
      <c r="RDN143" s="181"/>
      <c r="RDO143" s="181"/>
      <c r="RDP143" s="181"/>
      <c r="RDQ143" s="181"/>
      <c r="RDR143" s="181"/>
      <c r="RDS143" s="181"/>
      <c r="RDT143" s="181"/>
      <c r="RDU143" s="181"/>
      <c r="RDV143" s="181"/>
      <c r="RDW143" s="181"/>
      <c r="RDX143" s="181"/>
      <c r="RDY143" s="181"/>
      <c r="RDZ143" s="181"/>
      <c r="REA143" s="181"/>
      <c r="REB143" s="181"/>
      <c r="REC143" s="181"/>
      <c r="RED143" s="181"/>
      <c r="REE143" s="181"/>
      <c r="REF143" s="181"/>
      <c r="REG143" s="181"/>
      <c r="REH143" s="181"/>
      <c r="REI143" s="181"/>
      <c r="REJ143" s="181"/>
      <c r="REK143" s="181"/>
      <c r="REL143" s="181"/>
      <c r="REM143" s="181"/>
      <c r="REN143" s="181"/>
      <c r="REO143" s="181"/>
      <c r="REP143" s="181"/>
      <c r="REQ143" s="181"/>
      <c r="RER143" s="181"/>
      <c r="RES143" s="181"/>
      <c r="RET143" s="181"/>
      <c r="REU143" s="181"/>
      <c r="REV143" s="181"/>
      <c r="REW143" s="181"/>
      <c r="REX143" s="181"/>
      <c r="REY143" s="181"/>
      <c r="REZ143" s="181"/>
      <c r="RFA143" s="181"/>
      <c r="RFB143" s="181"/>
      <c r="RFC143" s="181"/>
      <c r="RFD143" s="181"/>
      <c r="RFE143" s="181"/>
      <c r="RFF143" s="181"/>
      <c r="RFG143" s="181"/>
      <c r="RFH143" s="181"/>
      <c r="RFI143" s="181"/>
      <c r="RFJ143" s="181"/>
      <c r="RFK143" s="181"/>
      <c r="RFL143" s="181"/>
      <c r="RFM143" s="181"/>
      <c r="RFN143" s="181"/>
      <c r="RFO143" s="181"/>
      <c r="RFP143" s="181"/>
      <c r="RFQ143" s="181"/>
      <c r="RFR143" s="181"/>
      <c r="RFS143" s="181"/>
      <c r="RFT143" s="181"/>
      <c r="RFU143" s="181"/>
      <c r="RFV143" s="181"/>
      <c r="RFW143" s="181"/>
      <c r="RFX143" s="181"/>
      <c r="RFY143" s="181"/>
      <c r="RFZ143" s="181"/>
      <c r="RGA143" s="181"/>
      <c r="RGB143" s="181"/>
      <c r="RGC143" s="181"/>
      <c r="RGD143" s="181"/>
      <c r="RGE143" s="181"/>
      <c r="RGF143" s="181"/>
      <c r="RGG143" s="181"/>
      <c r="RGH143" s="181"/>
      <c r="RGI143" s="181"/>
      <c r="RGJ143" s="181"/>
      <c r="RGK143" s="181"/>
      <c r="RGL143" s="181"/>
      <c r="RGM143" s="181"/>
      <c r="RGN143" s="181"/>
      <c r="RGO143" s="181"/>
      <c r="RGP143" s="181"/>
      <c r="RGQ143" s="181"/>
      <c r="RGR143" s="181"/>
      <c r="RGS143" s="181"/>
      <c r="RGT143" s="181"/>
      <c r="RGU143" s="181"/>
      <c r="RGV143" s="181"/>
      <c r="RGW143" s="181"/>
      <c r="RGX143" s="181"/>
      <c r="RGY143" s="181"/>
      <c r="RGZ143" s="181"/>
      <c r="RHA143" s="181"/>
      <c r="RHB143" s="181"/>
      <c r="RHC143" s="181"/>
      <c r="RHD143" s="181"/>
      <c r="RHE143" s="181"/>
      <c r="RHF143" s="181"/>
      <c r="RHG143" s="181"/>
      <c r="RHH143" s="181"/>
      <c r="RHI143" s="181"/>
      <c r="RHJ143" s="181"/>
      <c r="RHK143" s="181"/>
      <c r="RHL143" s="181"/>
      <c r="RHM143" s="181"/>
      <c r="RHN143" s="181"/>
      <c r="RHO143" s="181"/>
      <c r="RHP143" s="181"/>
      <c r="RHQ143" s="181"/>
      <c r="RHR143" s="181"/>
      <c r="RHS143" s="181"/>
      <c r="RHT143" s="181"/>
      <c r="RHU143" s="181"/>
      <c r="RHV143" s="181"/>
      <c r="RHW143" s="181"/>
      <c r="RHX143" s="181"/>
      <c r="RHY143" s="181"/>
      <c r="RHZ143" s="181"/>
      <c r="RIA143" s="181"/>
      <c r="RIB143" s="181"/>
      <c r="RIC143" s="181"/>
      <c r="RID143" s="181"/>
      <c r="RIE143" s="181"/>
      <c r="RIF143" s="181"/>
      <c r="RIG143" s="181"/>
      <c r="RIH143" s="181"/>
      <c r="RII143" s="181"/>
      <c r="RIJ143" s="181"/>
      <c r="RIK143" s="181"/>
      <c r="RIL143" s="181"/>
      <c r="RIM143" s="181"/>
      <c r="RIN143" s="181"/>
      <c r="RIO143" s="181"/>
      <c r="RIP143" s="181"/>
      <c r="RIQ143" s="181"/>
      <c r="RIR143" s="181"/>
      <c r="RIS143" s="181"/>
      <c r="RIT143" s="181"/>
      <c r="RIU143" s="181"/>
      <c r="RIV143" s="181"/>
      <c r="RIW143" s="181"/>
      <c r="RIX143" s="181"/>
      <c r="RIY143" s="181"/>
      <c r="RIZ143" s="181"/>
      <c r="RJA143" s="181"/>
      <c r="RJB143" s="181"/>
      <c r="RJC143" s="181"/>
      <c r="RJD143" s="181"/>
      <c r="RJE143" s="181"/>
      <c r="RJF143" s="181"/>
      <c r="RJG143" s="181"/>
      <c r="RJH143" s="181"/>
      <c r="RJI143" s="181"/>
      <c r="RJJ143" s="181"/>
      <c r="RJK143" s="181"/>
      <c r="RJL143" s="181"/>
      <c r="RJM143" s="181"/>
      <c r="RJN143" s="181"/>
      <c r="RJO143" s="181"/>
      <c r="RJP143" s="181"/>
      <c r="RJQ143" s="181"/>
      <c r="RJR143" s="181"/>
      <c r="RJS143" s="181"/>
      <c r="RJT143" s="181"/>
      <c r="RJU143" s="181"/>
      <c r="RJV143" s="181"/>
      <c r="RJW143" s="181"/>
      <c r="RJX143" s="181"/>
      <c r="RJY143" s="181"/>
      <c r="RJZ143" s="181"/>
      <c r="RKA143" s="181"/>
      <c r="RKB143" s="181"/>
      <c r="RKC143" s="181"/>
      <c r="RKD143" s="181"/>
      <c r="RKE143" s="181"/>
      <c r="RKF143" s="181"/>
      <c r="RKG143" s="181"/>
      <c r="RKH143" s="181"/>
      <c r="RKI143" s="181"/>
      <c r="RKJ143" s="181"/>
      <c r="RKK143" s="181"/>
      <c r="RKL143" s="181"/>
      <c r="RKM143" s="181"/>
      <c r="RKN143" s="181"/>
      <c r="RKO143" s="181"/>
      <c r="RKP143" s="181"/>
      <c r="RKQ143" s="181"/>
      <c r="RKR143" s="181"/>
      <c r="RKS143" s="181"/>
      <c r="RKT143" s="181"/>
      <c r="RKU143" s="181"/>
      <c r="RKV143" s="181"/>
      <c r="RKW143" s="181"/>
      <c r="RKX143" s="181"/>
      <c r="RKY143" s="181"/>
      <c r="RKZ143" s="181"/>
      <c r="RLA143" s="181"/>
      <c r="RLB143" s="181"/>
      <c r="RLC143" s="181"/>
      <c r="RLD143" s="181"/>
      <c r="RLE143" s="181"/>
      <c r="RLF143" s="181"/>
      <c r="RLG143" s="181"/>
      <c r="RLH143" s="181"/>
      <c r="RLI143" s="181"/>
      <c r="RLJ143" s="181"/>
      <c r="RLK143" s="181"/>
      <c r="RLL143" s="181"/>
      <c r="RLM143" s="181"/>
      <c r="RLN143" s="181"/>
      <c r="RLO143" s="181"/>
      <c r="RLP143" s="181"/>
      <c r="RLQ143" s="181"/>
      <c r="RLR143" s="181"/>
      <c r="RLS143" s="181"/>
      <c r="RLT143" s="181"/>
      <c r="RLU143" s="181"/>
      <c r="RLV143" s="181"/>
      <c r="RLW143" s="181"/>
      <c r="RLX143" s="181"/>
      <c r="RLY143" s="181"/>
      <c r="RLZ143" s="181"/>
      <c r="RMA143" s="181"/>
      <c r="RMB143" s="181"/>
      <c r="RMC143" s="181"/>
      <c r="RMD143" s="181"/>
      <c r="RME143" s="181"/>
      <c r="RMF143" s="181"/>
      <c r="RMG143" s="181"/>
      <c r="RMH143" s="181"/>
      <c r="RMI143" s="181"/>
      <c r="RMJ143" s="181"/>
      <c r="RMK143" s="181"/>
      <c r="RML143" s="181"/>
      <c r="RMM143" s="181"/>
      <c r="RMN143" s="181"/>
      <c r="RMO143" s="181"/>
      <c r="RMP143" s="181"/>
      <c r="RMQ143" s="181"/>
      <c r="RMR143" s="181"/>
      <c r="RMS143" s="181"/>
      <c r="RMT143" s="181"/>
      <c r="RMU143" s="181"/>
      <c r="RMV143" s="181"/>
      <c r="RMW143" s="181"/>
      <c r="RMX143" s="181"/>
      <c r="RMY143" s="181"/>
      <c r="RMZ143" s="181"/>
      <c r="RNA143" s="181"/>
      <c r="RNB143" s="181"/>
      <c r="RNC143" s="181"/>
      <c r="RND143" s="181"/>
      <c r="RNE143" s="181"/>
      <c r="RNF143" s="181"/>
      <c r="RNG143" s="181"/>
      <c r="RNH143" s="181"/>
      <c r="RNI143" s="181"/>
      <c r="RNJ143" s="181"/>
      <c r="RNK143" s="181"/>
      <c r="RNL143" s="181"/>
      <c r="RNM143" s="181"/>
      <c r="RNN143" s="181"/>
      <c r="RNO143" s="181"/>
      <c r="RNP143" s="181"/>
      <c r="RNQ143" s="181"/>
      <c r="RNR143" s="181"/>
      <c r="RNS143" s="181"/>
      <c r="RNT143" s="181"/>
      <c r="RNU143" s="181"/>
      <c r="RNV143" s="181"/>
      <c r="RNW143" s="181"/>
      <c r="RNX143" s="181"/>
      <c r="RNY143" s="181"/>
      <c r="RNZ143" s="181"/>
      <c r="ROA143" s="181"/>
      <c r="ROB143" s="181"/>
      <c r="ROC143" s="181"/>
      <c r="ROD143" s="181"/>
      <c r="ROE143" s="181"/>
      <c r="ROF143" s="181"/>
      <c r="ROG143" s="181"/>
      <c r="ROH143" s="181"/>
      <c r="ROI143" s="181"/>
      <c r="ROJ143" s="181"/>
      <c r="ROK143" s="181"/>
      <c r="ROL143" s="181"/>
      <c r="ROM143" s="181"/>
      <c r="RON143" s="181"/>
      <c r="ROO143" s="181"/>
      <c r="ROP143" s="181"/>
      <c r="ROQ143" s="181"/>
      <c r="ROR143" s="181"/>
      <c r="ROS143" s="181"/>
      <c r="ROT143" s="181"/>
      <c r="ROU143" s="181"/>
      <c r="ROV143" s="181"/>
      <c r="ROW143" s="181"/>
      <c r="ROX143" s="181"/>
      <c r="ROY143" s="181"/>
      <c r="ROZ143" s="181"/>
      <c r="RPA143" s="181"/>
      <c r="RPB143" s="181"/>
      <c r="RPC143" s="181"/>
      <c r="RPD143" s="181"/>
      <c r="RPE143" s="181"/>
      <c r="RPF143" s="181"/>
      <c r="RPG143" s="181"/>
      <c r="RPH143" s="181"/>
      <c r="RPI143" s="181"/>
      <c r="RPJ143" s="181"/>
      <c r="RPK143" s="181"/>
      <c r="RPL143" s="181"/>
      <c r="RPM143" s="181"/>
      <c r="RPN143" s="181"/>
      <c r="RPO143" s="181"/>
      <c r="RPP143" s="181"/>
      <c r="RPQ143" s="181"/>
      <c r="RPR143" s="181"/>
      <c r="RPS143" s="181"/>
      <c r="RPT143" s="181"/>
      <c r="RPU143" s="181"/>
      <c r="RPV143" s="181"/>
      <c r="RPW143" s="181"/>
      <c r="RPX143" s="181"/>
      <c r="RPY143" s="181"/>
      <c r="RPZ143" s="181"/>
      <c r="RQA143" s="181"/>
      <c r="RQB143" s="181"/>
      <c r="RQC143" s="181"/>
      <c r="RQD143" s="181"/>
      <c r="RQE143" s="181"/>
      <c r="RQF143" s="181"/>
      <c r="RQG143" s="181"/>
      <c r="RQH143" s="181"/>
      <c r="RQI143" s="181"/>
      <c r="RQJ143" s="181"/>
      <c r="RQK143" s="181"/>
      <c r="RQL143" s="181"/>
      <c r="RQM143" s="181"/>
      <c r="RQN143" s="181"/>
      <c r="RQO143" s="181"/>
      <c r="RQP143" s="181"/>
      <c r="RQQ143" s="181"/>
      <c r="RQR143" s="181"/>
      <c r="RQS143" s="181"/>
      <c r="RQT143" s="181"/>
      <c r="RQU143" s="181"/>
      <c r="RQV143" s="181"/>
      <c r="RQW143" s="181"/>
      <c r="RQX143" s="181"/>
      <c r="RQY143" s="181"/>
      <c r="RQZ143" s="181"/>
      <c r="RRA143" s="181"/>
      <c r="RRB143" s="181"/>
      <c r="RRC143" s="181"/>
      <c r="RRD143" s="181"/>
      <c r="RRE143" s="181"/>
      <c r="RRF143" s="181"/>
      <c r="RRG143" s="181"/>
      <c r="RRH143" s="181"/>
      <c r="RRI143" s="181"/>
      <c r="RRJ143" s="181"/>
      <c r="RRK143" s="181"/>
      <c r="RRL143" s="181"/>
      <c r="RRM143" s="181"/>
      <c r="RRN143" s="181"/>
      <c r="RRO143" s="181"/>
      <c r="RRP143" s="181"/>
      <c r="RRQ143" s="181"/>
      <c r="RRR143" s="181"/>
      <c r="RRS143" s="181"/>
      <c r="RRT143" s="181"/>
      <c r="RRU143" s="181"/>
      <c r="RRV143" s="181"/>
      <c r="RRW143" s="181"/>
      <c r="RRX143" s="181"/>
      <c r="RRY143" s="181"/>
      <c r="RRZ143" s="181"/>
      <c r="RSA143" s="181"/>
      <c r="RSB143" s="181"/>
      <c r="RSC143" s="181"/>
      <c r="RSD143" s="181"/>
      <c r="RSE143" s="181"/>
      <c r="RSF143" s="181"/>
      <c r="RSG143" s="181"/>
      <c r="RSH143" s="181"/>
      <c r="RSI143" s="181"/>
      <c r="RSJ143" s="181"/>
      <c r="RSK143" s="181"/>
      <c r="RSL143" s="181"/>
      <c r="RSM143" s="181"/>
      <c r="RSN143" s="181"/>
      <c r="RSO143" s="181"/>
      <c r="RSP143" s="181"/>
      <c r="RSQ143" s="181"/>
      <c r="RSR143" s="181"/>
      <c r="RSS143" s="181"/>
      <c r="RST143" s="181"/>
      <c r="RSU143" s="181"/>
      <c r="RSV143" s="181"/>
      <c r="RSW143" s="181"/>
      <c r="RSX143" s="181"/>
      <c r="RSY143" s="181"/>
      <c r="RSZ143" s="181"/>
      <c r="RTA143" s="181"/>
      <c r="RTB143" s="181"/>
      <c r="RTC143" s="181"/>
      <c r="RTD143" s="181"/>
      <c r="RTE143" s="181"/>
      <c r="RTF143" s="181"/>
      <c r="RTG143" s="181"/>
      <c r="RTH143" s="181"/>
      <c r="RTI143" s="181"/>
      <c r="RTJ143" s="181"/>
      <c r="RTK143" s="181"/>
      <c r="RTL143" s="181"/>
      <c r="RTM143" s="181"/>
      <c r="RTN143" s="181"/>
      <c r="RTO143" s="181"/>
      <c r="RTP143" s="181"/>
      <c r="RTQ143" s="181"/>
      <c r="RTR143" s="181"/>
      <c r="RTS143" s="181"/>
      <c r="RTT143" s="181"/>
      <c r="RTU143" s="181"/>
      <c r="RTV143" s="181"/>
      <c r="RTW143" s="181"/>
      <c r="RTX143" s="181"/>
      <c r="RTY143" s="181"/>
      <c r="RTZ143" s="181"/>
      <c r="RUA143" s="181"/>
      <c r="RUB143" s="181"/>
      <c r="RUC143" s="181"/>
      <c r="RUD143" s="181"/>
      <c r="RUE143" s="181"/>
      <c r="RUF143" s="181"/>
      <c r="RUG143" s="181"/>
      <c r="RUH143" s="181"/>
      <c r="RUI143" s="181"/>
      <c r="RUJ143" s="181"/>
      <c r="RUK143" s="181"/>
      <c r="RUL143" s="181"/>
      <c r="RUM143" s="181"/>
      <c r="RUN143" s="181"/>
      <c r="RUO143" s="181"/>
      <c r="RUP143" s="181"/>
      <c r="RUQ143" s="181"/>
      <c r="RUR143" s="181"/>
      <c r="RUS143" s="181"/>
      <c r="RUT143" s="181"/>
      <c r="RUU143" s="181"/>
      <c r="RUV143" s="181"/>
      <c r="RUW143" s="181"/>
      <c r="RUX143" s="181"/>
      <c r="RUY143" s="181"/>
      <c r="RUZ143" s="181"/>
      <c r="RVA143" s="181"/>
      <c r="RVB143" s="181"/>
      <c r="RVC143" s="181"/>
      <c r="RVD143" s="181"/>
      <c r="RVE143" s="181"/>
      <c r="RVF143" s="181"/>
      <c r="RVG143" s="181"/>
      <c r="RVH143" s="181"/>
      <c r="RVI143" s="181"/>
      <c r="RVJ143" s="181"/>
      <c r="RVK143" s="181"/>
      <c r="RVL143" s="181"/>
      <c r="RVM143" s="181"/>
      <c r="RVN143" s="181"/>
      <c r="RVO143" s="181"/>
      <c r="RVP143" s="181"/>
      <c r="RVQ143" s="181"/>
      <c r="RVR143" s="181"/>
      <c r="RVS143" s="181"/>
      <c r="RVT143" s="181"/>
      <c r="RVU143" s="181"/>
      <c r="RVV143" s="181"/>
      <c r="RVW143" s="181"/>
      <c r="RVX143" s="181"/>
      <c r="RVY143" s="181"/>
      <c r="RVZ143" s="181"/>
      <c r="RWA143" s="181"/>
      <c r="RWB143" s="181"/>
      <c r="RWC143" s="181"/>
      <c r="RWD143" s="181"/>
      <c r="RWE143" s="181"/>
      <c r="RWF143" s="181"/>
      <c r="RWG143" s="181"/>
      <c r="RWH143" s="181"/>
      <c r="RWI143" s="181"/>
      <c r="RWJ143" s="181"/>
      <c r="RWK143" s="181"/>
      <c r="RWL143" s="181"/>
      <c r="RWM143" s="181"/>
      <c r="RWN143" s="181"/>
      <c r="RWO143" s="181"/>
      <c r="RWP143" s="181"/>
      <c r="RWQ143" s="181"/>
      <c r="RWR143" s="181"/>
      <c r="RWS143" s="181"/>
      <c r="RWT143" s="181"/>
      <c r="RWU143" s="181"/>
      <c r="RWV143" s="181"/>
      <c r="RWW143" s="181"/>
      <c r="RWX143" s="181"/>
      <c r="RWY143" s="181"/>
      <c r="RWZ143" s="181"/>
      <c r="RXA143" s="181"/>
      <c r="RXB143" s="181"/>
      <c r="RXC143" s="181"/>
      <c r="RXD143" s="181"/>
      <c r="RXE143" s="181"/>
      <c r="RXF143" s="181"/>
      <c r="RXG143" s="181"/>
      <c r="RXH143" s="181"/>
      <c r="RXI143" s="181"/>
      <c r="RXJ143" s="181"/>
      <c r="RXK143" s="181"/>
      <c r="RXL143" s="181"/>
      <c r="RXM143" s="181"/>
      <c r="RXN143" s="181"/>
      <c r="RXO143" s="181"/>
      <c r="RXP143" s="181"/>
      <c r="RXQ143" s="181"/>
      <c r="RXR143" s="181"/>
      <c r="RXS143" s="181"/>
      <c r="RXT143" s="181"/>
      <c r="RXU143" s="181"/>
      <c r="RXV143" s="181"/>
      <c r="RXW143" s="181"/>
      <c r="RXX143" s="181"/>
      <c r="RXY143" s="181"/>
      <c r="RXZ143" s="181"/>
      <c r="RYA143" s="181"/>
      <c r="RYB143" s="181"/>
      <c r="RYC143" s="181"/>
      <c r="RYD143" s="181"/>
      <c r="RYE143" s="181"/>
      <c r="RYF143" s="181"/>
      <c r="RYG143" s="181"/>
      <c r="RYH143" s="181"/>
      <c r="RYI143" s="181"/>
      <c r="RYJ143" s="181"/>
      <c r="RYK143" s="181"/>
      <c r="RYL143" s="181"/>
      <c r="RYM143" s="181"/>
      <c r="RYN143" s="181"/>
      <c r="RYO143" s="181"/>
      <c r="RYP143" s="181"/>
      <c r="RYQ143" s="181"/>
      <c r="RYR143" s="181"/>
      <c r="RYS143" s="181"/>
      <c r="RYT143" s="181"/>
      <c r="RYU143" s="181"/>
      <c r="RYV143" s="181"/>
      <c r="RYW143" s="181"/>
      <c r="RYX143" s="181"/>
      <c r="RYY143" s="181"/>
      <c r="RYZ143" s="181"/>
      <c r="RZA143" s="181"/>
      <c r="RZB143" s="181"/>
      <c r="RZC143" s="181"/>
      <c r="RZD143" s="181"/>
      <c r="RZE143" s="181"/>
      <c r="RZF143" s="181"/>
      <c r="RZG143" s="181"/>
      <c r="RZH143" s="181"/>
      <c r="RZI143" s="181"/>
      <c r="RZJ143" s="181"/>
      <c r="RZK143" s="181"/>
      <c r="RZL143" s="181"/>
      <c r="RZM143" s="181"/>
      <c r="RZN143" s="181"/>
      <c r="RZO143" s="181"/>
      <c r="RZP143" s="181"/>
      <c r="RZQ143" s="181"/>
      <c r="RZR143" s="181"/>
      <c r="RZS143" s="181"/>
      <c r="RZT143" s="181"/>
      <c r="RZU143" s="181"/>
      <c r="RZV143" s="181"/>
      <c r="RZW143" s="181"/>
      <c r="RZX143" s="181"/>
      <c r="RZY143" s="181"/>
      <c r="RZZ143" s="181"/>
      <c r="SAA143" s="181"/>
      <c r="SAB143" s="181"/>
      <c r="SAC143" s="181"/>
      <c r="SAD143" s="181"/>
      <c r="SAE143" s="181"/>
      <c r="SAF143" s="181"/>
      <c r="SAG143" s="181"/>
      <c r="SAH143" s="181"/>
      <c r="SAI143" s="181"/>
      <c r="SAJ143" s="181"/>
      <c r="SAK143" s="181"/>
      <c r="SAL143" s="181"/>
      <c r="SAM143" s="181"/>
      <c r="SAN143" s="181"/>
      <c r="SAO143" s="181"/>
      <c r="SAP143" s="181"/>
      <c r="SAQ143" s="181"/>
      <c r="SAR143" s="181"/>
      <c r="SAS143" s="181"/>
      <c r="SAT143" s="181"/>
      <c r="SAU143" s="181"/>
      <c r="SAV143" s="181"/>
      <c r="SAW143" s="181"/>
      <c r="SAX143" s="181"/>
      <c r="SAY143" s="181"/>
      <c r="SAZ143" s="181"/>
      <c r="SBA143" s="181"/>
      <c r="SBB143" s="181"/>
      <c r="SBC143" s="181"/>
      <c r="SBD143" s="181"/>
      <c r="SBE143" s="181"/>
      <c r="SBF143" s="181"/>
      <c r="SBG143" s="181"/>
      <c r="SBH143" s="181"/>
      <c r="SBI143" s="181"/>
      <c r="SBJ143" s="181"/>
      <c r="SBK143" s="181"/>
      <c r="SBL143" s="181"/>
      <c r="SBM143" s="181"/>
      <c r="SBN143" s="181"/>
      <c r="SBO143" s="181"/>
      <c r="SBP143" s="181"/>
      <c r="SBQ143" s="181"/>
      <c r="SBR143" s="181"/>
      <c r="SBS143" s="181"/>
      <c r="SBT143" s="181"/>
      <c r="SBU143" s="181"/>
      <c r="SBV143" s="181"/>
      <c r="SBW143" s="181"/>
      <c r="SBX143" s="181"/>
      <c r="SBY143" s="181"/>
      <c r="SBZ143" s="181"/>
      <c r="SCA143" s="181"/>
      <c r="SCB143" s="181"/>
      <c r="SCC143" s="181"/>
      <c r="SCD143" s="181"/>
      <c r="SCE143" s="181"/>
      <c r="SCF143" s="181"/>
      <c r="SCG143" s="181"/>
      <c r="SCH143" s="181"/>
      <c r="SCI143" s="181"/>
      <c r="SCJ143" s="181"/>
      <c r="SCK143" s="181"/>
      <c r="SCL143" s="181"/>
      <c r="SCM143" s="181"/>
      <c r="SCN143" s="181"/>
      <c r="SCO143" s="181"/>
      <c r="SCP143" s="181"/>
      <c r="SCQ143" s="181"/>
      <c r="SCR143" s="181"/>
      <c r="SCS143" s="181"/>
      <c r="SCT143" s="181"/>
      <c r="SCU143" s="181"/>
      <c r="SCV143" s="181"/>
      <c r="SCW143" s="181"/>
      <c r="SCX143" s="181"/>
      <c r="SCY143" s="181"/>
      <c r="SCZ143" s="181"/>
      <c r="SDA143" s="181"/>
      <c r="SDB143" s="181"/>
      <c r="SDC143" s="181"/>
      <c r="SDD143" s="181"/>
      <c r="SDE143" s="181"/>
      <c r="SDF143" s="181"/>
      <c r="SDG143" s="181"/>
      <c r="SDH143" s="181"/>
      <c r="SDI143" s="181"/>
      <c r="SDJ143" s="181"/>
      <c r="SDK143" s="181"/>
      <c r="SDL143" s="181"/>
      <c r="SDM143" s="181"/>
      <c r="SDN143" s="181"/>
      <c r="SDO143" s="181"/>
      <c r="SDP143" s="181"/>
      <c r="SDQ143" s="181"/>
      <c r="SDR143" s="181"/>
      <c r="SDS143" s="181"/>
      <c r="SDT143" s="181"/>
      <c r="SDU143" s="181"/>
      <c r="SDV143" s="181"/>
      <c r="SDW143" s="181"/>
      <c r="SDX143" s="181"/>
      <c r="SDY143" s="181"/>
      <c r="SDZ143" s="181"/>
      <c r="SEA143" s="181"/>
      <c r="SEB143" s="181"/>
      <c r="SEC143" s="181"/>
      <c r="SED143" s="181"/>
      <c r="SEE143" s="181"/>
      <c r="SEF143" s="181"/>
      <c r="SEG143" s="181"/>
      <c r="SEH143" s="181"/>
      <c r="SEI143" s="181"/>
      <c r="SEJ143" s="181"/>
      <c r="SEK143" s="181"/>
      <c r="SEL143" s="181"/>
      <c r="SEM143" s="181"/>
      <c r="SEN143" s="181"/>
      <c r="SEO143" s="181"/>
      <c r="SEP143" s="181"/>
      <c r="SEQ143" s="181"/>
      <c r="SER143" s="181"/>
      <c r="SES143" s="181"/>
      <c r="SET143" s="181"/>
      <c r="SEU143" s="181"/>
      <c r="SEV143" s="181"/>
      <c r="SEW143" s="181"/>
      <c r="SEX143" s="181"/>
      <c r="SEY143" s="181"/>
      <c r="SEZ143" s="181"/>
      <c r="SFA143" s="181"/>
      <c r="SFB143" s="181"/>
      <c r="SFC143" s="181"/>
      <c r="SFD143" s="181"/>
      <c r="SFE143" s="181"/>
      <c r="SFF143" s="181"/>
      <c r="SFG143" s="181"/>
      <c r="SFH143" s="181"/>
      <c r="SFI143" s="181"/>
      <c r="SFJ143" s="181"/>
      <c r="SFK143" s="181"/>
      <c r="SFL143" s="181"/>
      <c r="SFM143" s="181"/>
      <c r="SFN143" s="181"/>
      <c r="SFO143" s="181"/>
      <c r="SFP143" s="181"/>
      <c r="SFQ143" s="181"/>
      <c r="SFR143" s="181"/>
      <c r="SFS143" s="181"/>
      <c r="SFT143" s="181"/>
      <c r="SFU143" s="181"/>
      <c r="SFV143" s="181"/>
      <c r="SFW143" s="181"/>
      <c r="SFX143" s="181"/>
      <c r="SFY143" s="181"/>
      <c r="SFZ143" s="181"/>
      <c r="SGA143" s="181"/>
      <c r="SGB143" s="181"/>
      <c r="SGC143" s="181"/>
      <c r="SGD143" s="181"/>
      <c r="SGE143" s="181"/>
      <c r="SGF143" s="181"/>
      <c r="SGG143" s="181"/>
      <c r="SGH143" s="181"/>
      <c r="SGI143" s="181"/>
      <c r="SGJ143" s="181"/>
      <c r="SGK143" s="181"/>
      <c r="SGL143" s="181"/>
      <c r="SGM143" s="181"/>
      <c r="SGN143" s="181"/>
      <c r="SGO143" s="181"/>
      <c r="SGP143" s="181"/>
      <c r="SGQ143" s="181"/>
      <c r="SGR143" s="181"/>
      <c r="SGS143" s="181"/>
      <c r="SGT143" s="181"/>
      <c r="SGU143" s="181"/>
      <c r="SGV143" s="181"/>
      <c r="SGW143" s="181"/>
      <c r="SGX143" s="181"/>
      <c r="SGY143" s="181"/>
      <c r="SGZ143" s="181"/>
      <c r="SHA143" s="181"/>
      <c r="SHB143" s="181"/>
      <c r="SHC143" s="181"/>
      <c r="SHD143" s="181"/>
      <c r="SHE143" s="181"/>
      <c r="SHF143" s="181"/>
      <c r="SHG143" s="181"/>
      <c r="SHH143" s="181"/>
      <c r="SHI143" s="181"/>
      <c r="SHJ143" s="181"/>
      <c r="SHK143" s="181"/>
      <c r="SHL143" s="181"/>
      <c r="SHM143" s="181"/>
      <c r="SHN143" s="181"/>
      <c r="SHO143" s="181"/>
      <c r="SHP143" s="181"/>
      <c r="SHQ143" s="181"/>
      <c r="SHR143" s="181"/>
      <c r="SHS143" s="181"/>
      <c r="SHT143" s="181"/>
      <c r="SHU143" s="181"/>
      <c r="SHV143" s="181"/>
      <c r="SHW143" s="181"/>
      <c r="SHX143" s="181"/>
      <c r="SHY143" s="181"/>
      <c r="SHZ143" s="181"/>
      <c r="SIA143" s="181"/>
      <c r="SIB143" s="181"/>
      <c r="SIC143" s="181"/>
      <c r="SID143" s="181"/>
      <c r="SIE143" s="181"/>
      <c r="SIF143" s="181"/>
      <c r="SIG143" s="181"/>
      <c r="SIH143" s="181"/>
      <c r="SII143" s="181"/>
      <c r="SIJ143" s="181"/>
      <c r="SIK143" s="181"/>
      <c r="SIL143" s="181"/>
      <c r="SIM143" s="181"/>
      <c r="SIN143" s="181"/>
      <c r="SIO143" s="181"/>
      <c r="SIP143" s="181"/>
      <c r="SIQ143" s="181"/>
      <c r="SIR143" s="181"/>
      <c r="SIS143" s="181"/>
      <c r="SIT143" s="181"/>
      <c r="SIU143" s="181"/>
      <c r="SIV143" s="181"/>
      <c r="SIW143" s="181"/>
      <c r="SIX143" s="181"/>
      <c r="SIY143" s="181"/>
      <c r="SIZ143" s="181"/>
      <c r="SJA143" s="181"/>
      <c r="SJB143" s="181"/>
      <c r="SJC143" s="181"/>
      <c r="SJD143" s="181"/>
      <c r="SJE143" s="181"/>
      <c r="SJF143" s="181"/>
      <c r="SJG143" s="181"/>
      <c r="SJH143" s="181"/>
      <c r="SJI143" s="181"/>
      <c r="SJJ143" s="181"/>
      <c r="SJK143" s="181"/>
      <c r="SJL143" s="181"/>
      <c r="SJM143" s="181"/>
      <c r="SJN143" s="181"/>
      <c r="SJO143" s="181"/>
      <c r="SJP143" s="181"/>
      <c r="SJQ143" s="181"/>
      <c r="SJR143" s="181"/>
      <c r="SJS143" s="181"/>
      <c r="SJT143" s="181"/>
      <c r="SJU143" s="181"/>
      <c r="SJV143" s="181"/>
      <c r="SJW143" s="181"/>
      <c r="SJX143" s="181"/>
      <c r="SJY143" s="181"/>
      <c r="SJZ143" s="181"/>
      <c r="SKA143" s="181"/>
      <c r="SKB143" s="181"/>
      <c r="SKC143" s="181"/>
      <c r="SKD143" s="181"/>
      <c r="SKE143" s="181"/>
      <c r="SKF143" s="181"/>
      <c r="SKG143" s="181"/>
      <c r="SKH143" s="181"/>
      <c r="SKI143" s="181"/>
      <c r="SKJ143" s="181"/>
      <c r="SKK143" s="181"/>
      <c r="SKL143" s="181"/>
      <c r="SKM143" s="181"/>
      <c r="SKN143" s="181"/>
      <c r="SKO143" s="181"/>
      <c r="SKP143" s="181"/>
      <c r="SKQ143" s="181"/>
      <c r="SKR143" s="181"/>
      <c r="SKS143" s="181"/>
      <c r="SKT143" s="181"/>
      <c r="SKU143" s="181"/>
      <c r="SKV143" s="181"/>
      <c r="SKW143" s="181"/>
      <c r="SKX143" s="181"/>
      <c r="SKY143" s="181"/>
      <c r="SKZ143" s="181"/>
      <c r="SLA143" s="181"/>
      <c r="SLB143" s="181"/>
      <c r="SLC143" s="181"/>
      <c r="SLD143" s="181"/>
      <c r="SLE143" s="181"/>
      <c r="SLF143" s="181"/>
      <c r="SLG143" s="181"/>
      <c r="SLH143" s="181"/>
      <c r="SLI143" s="181"/>
      <c r="SLJ143" s="181"/>
      <c r="SLK143" s="181"/>
      <c r="SLL143" s="181"/>
      <c r="SLM143" s="181"/>
      <c r="SLN143" s="181"/>
      <c r="SLO143" s="181"/>
      <c r="SLP143" s="181"/>
      <c r="SLQ143" s="181"/>
      <c r="SLR143" s="181"/>
      <c r="SLS143" s="181"/>
      <c r="SLT143" s="181"/>
      <c r="SLU143" s="181"/>
      <c r="SLV143" s="181"/>
      <c r="SLW143" s="181"/>
      <c r="SLX143" s="181"/>
      <c r="SLY143" s="181"/>
      <c r="SLZ143" s="181"/>
      <c r="SMA143" s="181"/>
      <c r="SMB143" s="181"/>
      <c r="SMC143" s="181"/>
      <c r="SMD143" s="181"/>
      <c r="SME143" s="181"/>
      <c r="SMF143" s="181"/>
      <c r="SMG143" s="181"/>
      <c r="SMH143" s="181"/>
      <c r="SMI143" s="181"/>
      <c r="SMJ143" s="181"/>
      <c r="SMK143" s="181"/>
      <c r="SML143" s="181"/>
      <c r="SMM143" s="181"/>
      <c r="SMN143" s="181"/>
      <c r="SMO143" s="181"/>
      <c r="SMP143" s="181"/>
      <c r="SMQ143" s="181"/>
      <c r="SMR143" s="181"/>
      <c r="SMS143" s="181"/>
      <c r="SMT143" s="181"/>
      <c r="SMU143" s="181"/>
      <c r="SMV143" s="181"/>
      <c r="SMW143" s="181"/>
      <c r="SMX143" s="181"/>
      <c r="SMY143" s="181"/>
      <c r="SMZ143" s="181"/>
      <c r="SNA143" s="181"/>
      <c r="SNB143" s="181"/>
      <c r="SNC143" s="181"/>
      <c r="SND143" s="181"/>
      <c r="SNE143" s="181"/>
      <c r="SNF143" s="181"/>
      <c r="SNG143" s="181"/>
      <c r="SNH143" s="181"/>
      <c r="SNI143" s="181"/>
      <c r="SNJ143" s="181"/>
      <c r="SNK143" s="181"/>
      <c r="SNL143" s="181"/>
      <c r="SNM143" s="181"/>
      <c r="SNN143" s="181"/>
      <c r="SNO143" s="181"/>
      <c r="SNP143" s="181"/>
      <c r="SNQ143" s="181"/>
      <c r="SNR143" s="181"/>
      <c r="SNS143" s="181"/>
      <c r="SNT143" s="181"/>
      <c r="SNU143" s="181"/>
      <c r="SNV143" s="181"/>
      <c r="SNW143" s="181"/>
      <c r="SNX143" s="181"/>
      <c r="SNY143" s="181"/>
      <c r="SNZ143" s="181"/>
      <c r="SOA143" s="181"/>
      <c r="SOB143" s="181"/>
      <c r="SOC143" s="181"/>
      <c r="SOD143" s="181"/>
      <c r="SOE143" s="181"/>
      <c r="SOF143" s="181"/>
      <c r="SOG143" s="181"/>
      <c r="SOH143" s="181"/>
      <c r="SOI143" s="181"/>
      <c r="SOJ143" s="181"/>
      <c r="SOK143" s="181"/>
      <c r="SOL143" s="181"/>
      <c r="SOM143" s="181"/>
      <c r="SON143" s="181"/>
      <c r="SOO143" s="181"/>
      <c r="SOP143" s="181"/>
      <c r="SOQ143" s="181"/>
      <c r="SOR143" s="181"/>
      <c r="SOS143" s="181"/>
      <c r="SOT143" s="181"/>
      <c r="SOU143" s="181"/>
      <c r="SOV143" s="181"/>
      <c r="SOW143" s="181"/>
      <c r="SOX143" s="181"/>
      <c r="SOY143" s="181"/>
      <c r="SOZ143" s="181"/>
      <c r="SPA143" s="181"/>
      <c r="SPB143" s="181"/>
      <c r="SPC143" s="181"/>
      <c r="SPD143" s="181"/>
      <c r="SPE143" s="181"/>
      <c r="SPF143" s="181"/>
      <c r="SPG143" s="181"/>
      <c r="SPH143" s="181"/>
      <c r="SPI143" s="181"/>
      <c r="SPJ143" s="181"/>
      <c r="SPK143" s="181"/>
      <c r="SPL143" s="181"/>
      <c r="SPM143" s="181"/>
      <c r="SPN143" s="181"/>
      <c r="SPO143" s="181"/>
      <c r="SPP143" s="181"/>
      <c r="SPQ143" s="181"/>
      <c r="SPR143" s="181"/>
      <c r="SPS143" s="181"/>
      <c r="SPT143" s="181"/>
      <c r="SPU143" s="181"/>
      <c r="SPV143" s="181"/>
      <c r="SPW143" s="181"/>
      <c r="SPX143" s="181"/>
      <c r="SPY143" s="181"/>
      <c r="SPZ143" s="181"/>
      <c r="SQA143" s="181"/>
      <c r="SQB143" s="181"/>
      <c r="SQC143" s="181"/>
      <c r="SQD143" s="181"/>
      <c r="SQE143" s="181"/>
      <c r="SQF143" s="181"/>
      <c r="SQG143" s="181"/>
      <c r="SQH143" s="181"/>
      <c r="SQI143" s="181"/>
      <c r="SQJ143" s="181"/>
      <c r="SQK143" s="181"/>
      <c r="SQL143" s="181"/>
      <c r="SQM143" s="181"/>
      <c r="SQN143" s="181"/>
      <c r="SQO143" s="181"/>
      <c r="SQP143" s="181"/>
      <c r="SQQ143" s="181"/>
      <c r="SQR143" s="181"/>
      <c r="SQS143" s="181"/>
      <c r="SQT143" s="181"/>
      <c r="SQU143" s="181"/>
      <c r="SQV143" s="181"/>
      <c r="SQW143" s="181"/>
      <c r="SQX143" s="181"/>
      <c r="SQY143" s="181"/>
      <c r="SQZ143" s="181"/>
      <c r="SRA143" s="181"/>
      <c r="SRB143" s="181"/>
      <c r="SRC143" s="181"/>
      <c r="SRD143" s="181"/>
      <c r="SRE143" s="181"/>
      <c r="SRF143" s="181"/>
      <c r="SRG143" s="181"/>
      <c r="SRH143" s="181"/>
      <c r="SRI143" s="181"/>
      <c r="SRJ143" s="181"/>
      <c r="SRK143" s="181"/>
      <c r="SRL143" s="181"/>
      <c r="SRM143" s="181"/>
      <c r="SRN143" s="181"/>
      <c r="SRO143" s="181"/>
      <c r="SRP143" s="181"/>
      <c r="SRQ143" s="181"/>
      <c r="SRR143" s="181"/>
      <c r="SRS143" s="181"/>
      <c r="SRT143" s="181"/>
      <c r="SRU143" s="181"/>
      <c r="SRV143" s="181"/>
      <c r="SRW143" s="181"/>
      <c r="SRX143" s="181"/>
      <c r="SRY143" s="181"/>
      <c r="SRZ143" s="181"/>
      <c r="SSA143" s="181"/>
      <c r="SSB143" s="181"/>
      <c r="SSC143" s="181"/>
      <c r="SSD143" s="181"/>
      <c r="SSE143" s="181"/>
      <c r="SSF143" s="181"/>
      <c r="SSG143" s="181"/>
      <c r="SSH143" s="181"/>
      <c r="SSI143" s="181"/>
      <c r="SSJ143" s="181"/>
      <c r="SSK143" s="181"/>
      <c r="SSL143" s="181"/>
      <c r="SSM143" s="181"/>
      <c r="SSN143" s="181"/>
      <c r="SSO143" s="181"/>
      <c r="SSP143" s="181"/>
      <c r="SSQ143" s="181"/>
      <c r="SSR143" s="181"/>
      <c r="SSS143" s="181"/>
      <c r="SST143" s="181"/>
      <c r="SSU143" s="181"/>
      <c r="SSV143" s="181"/>
      <c r="SSW143" s="181"/>
      <c r="SSX143" s="181"/>
      <c r="SSY143" s="181"/>
      <c r="SSZ143" s="181"/>
      <c r="STA143" s="181"/>
      <c r="STB143" s="181"/>
      <c r="STC143" s="181"/>
      <c r="STD143" s="181"/>
      <c r="STE143" s="181"/>
      <c r="STF143" s="181"/>
      <c r="STG143" s="181"/>
      <c r="STH143" s="181"/>
      <c r="STI143" s="181"/>
      <c r="STJ143" s="181"/>
      <c r="STK143" s="181"/>
      <c r="STL143" s="181"/>
      <c r="STM143" s="181"/>
      <c r="STN143" s="181"/>
      <c r="STO143" s="181"/>
      <c r="STP143" s="181"/>
      <c r="STQ143" s="181"/>
      <c r="STR143" s="181"/>
      <c r="STS143" s="181"/>
      <c r="STT143" s="181"/>
      <c r="STU143" s="181"/>
      <c r="STV143" s="181"/>
      <c r="STW143" s="181"/>
      <c r="STX143" s="181"/>
      <c r="STY143" s="181"/>
      <c r="STZ143" s="181"/>
      <c r="SUA143" s="181"/>
      <c r="SUB143" s="181"/>
      <c r="SUC143" s="181"/>
      <c r="SUD143" s="181"/>
      <c r="SUE143" s="181"/>
      <c r="SUF143" s="181"/>
      <c r="SUG143" s="181"/>
      <c r="SUH143" s="181"/>
      <c r="SUI143" s="181"/>
      <c r="SUJ143" s="181"/>
      <c r="SUK143" s="181"/>
      <c r="SUL143" s="181"/>
      <c r="SUM143" s="181"/>
      <c r="SUN143" s="181"/>
      <c r="SUO143" s="181"/>
      <c r="SUP143" s="181"/>
      <c r="SUQ143" s="181"/>
      <c r="SUR143" s="181"/>
      <c r="SUS143" s="181"/>
      <c r="SUT143" s="181"/>
      <c r="SUU143" s="181"/>
      <c r="SUV143" s="181"/>
      <c r="SUW143" s="181"/>
      <c r="SUX143" s="181"/>
      <c r="SUY143" s="181"/>
      <c r="SUZ143" s="181"/>
      <c r="SVA143" s="181"/>
      <c r="SVB143" s="181"/>
      <c r="SVC143" s="181"/>
      <c r="SVD143" s="181"/>
      <c r="SVE143" s="181"/>
      <c r="SVF143" s="181"/>
      <c r="SVG143" s="181"/>
      <c r="SVH143" s="181"/>
      <c r="SVI143" s="181"/>
      <c r="SVJ143" s="181"/>
      <c r="SVK143" s="181"/>
      <c r="SVL143" s="181"/>
      <c r="SVM143" s="181"/>
      <c r="SVN143" s="181"/>
      <c r="SVO143" s="181"/>
      <c r="SVP143" s="181"/>
      <c r="SVQ143" s="181"/>
      <c r="SVR143" s="181"/>
      <c r="SVS143" s="181"/>
      <c r="SVT143" s="181"/>
      <c r="SVU143" s="181"/>
      <c r="SVV143" s="181"/>
      <c r="SVW143" s="181"/>
      <c r="SVX143" s="181"/>
      <c r="SVY143" s="181"/>
      <c r="SVZ143" s="181"/>
      <c r="SWA143" s="181"/>
      <c r="SWB143" s="181"/>
      <c r="SWC143" s="181"/>
      <c r="SWD143" s="181"/>
      <c r="SWE143" s="181"/>
      <c r="SWF143" s="181"/>
      <c r="SWG143" s="181"/>
      <c r="SWH143" s="181"/>
      <c r="SWI143" s="181"/>
      <c r="SWJ143" s="181"/>
      <c r="SWK143" s="181"/>
      <c r="SWL143" s="181"/>
      <c r="SWM143" s="181"/>
      <c r="SWN143" s="181"/>
      <c r="SWO143" s="181"/>
      <c r="SWP143" s="181"/>
      <c r="SWQ143" s="181"/>
      <c r="SWR143" s="181"/>
      <c r="SWS143" s="181"/>
      <c r="SWT143" s="181"/>
      <c r="SWU143" s="181"/>
      <c r="SWV143" s="181"/>
      <c r="SWW143" s="181"/>
      <c r="SWX143" s="181"/>
      <c r="SWY143" s="181"/>
      <c r="SWZ143" s="181"/>
      <c r="SXA143" s="181"/>
      <c r="SXB143" s="181"/>
      <c r="SXC143" s="181"/>
      <c r="SXD143" s="181"/>
      <c r="SXE143" s="181"/>
      <c r="SXF143" s="181"/>
      <c r="SXG143" s="181"/>
      <c r="SXH143" s="181"/>
      <c r="SXI143" s="181"/>
      <c r="SXJ143" s="181"/>
      <c r="SXK143" s="181"/>
      <c r="SXL143" s="181"/>
      <c r="SXM143" s="181"/>
      <c r="SXN143" s="181"/>
      <c r="SXO143" s="181"/>
      <c r="SXP143" s="181"/>
      <c r="SXQ143" s="181"/>
      <c r="SXR143" s="181"/>
      <c r="SXS143" s="181"/>
      <c r="SXT143" s="181"/>
      <c r="SXU143" s="181"/>
      <c r="SXV143" s="181"/>
      <c r="SXW143" s="181"/>
      <c r="SXX143" s="181"/>
      <c r="SXY143" s="181"/>
      <c r="SXZ143" s="181"/>
      <c r="SYA143" s="181"/>
      <c r="SYB143" s="181"/>
      <c r="SYC143" s="181"/>
      <c r="SYD143" s="181"/>
      <c r="SYE143" s="181"/>
      <c r="SYF143" s="181"/>
      <c r="SYG143" s="181"/>
      <c r="SYH143" s="181"/>
      <c r="SYI143" s="181"/>
      <c r="SYJ143" s="181"/>
      <c r="SYK143" s="181"/>
      <c r="SYL143" s="181"/>
      <c r="SYM143" s="181"/>
      <c r="SYN143" s="181"/>
      <c r="SYO143" s="181"/>
      <c r="SYP143" s="181"/>
      <c r="SYQ143" s="181"/>
      <c r="SYR143" s="181"/>
      <c r="SYS143" s="181"/>
      <c r="SYT143" s="181"/>
      <c r="SYU143" s="181"/>
      <c r="SYV143" s="181"/>
      <c r="SYW143" s="181"/>
      <c r="SYX143" s="181"/>
      <c r="SYY143" s="181"/>
      <c r="SYZ143" s="181"/>
      <c r="SZA143" s="181"/>
      <c r="SZB143" s="181"/>
      <c r="SZC143" s="181"/>
      <c r="SZD143" s="181"/>
      <c r="SZE143" s="181"/>
      <c r="SZF143" s="181"/>
      <c r="SZG143" s="181"/>
      <c r="SZH143" s="181"/>
      <c r="SZI143" s="181"/>
      <c r="SZJ143" s="181"/>
      <c r="SZK143" s="181"/>
      <c r="SZL143" s="181"/>
      <c r="SZM143" s="181"/>
      <c r="SZN143" s="181"/>
      <c r="SZO143" s="181"/>
      <c r="SZP143" s="181"/>
      <c r="SZQ143" s="181"/>
      <c r="SZR143" s="181"/>
      <c r="SZS143" s="181"/>
      <c r="SZT143" s="181"/>
      <c r="SZU143" s="181"/>
      <c r="SZV143" s="181"/>
      <c r="SZW143" s="181"/>
      <c r="SZX143" s="181"/>
      <c r="SZY143" s="181"/>
      <c r="SZZ143" s="181"/>
      <c r="TAA143" s="181"/>
      <c r="TAB143" s="181"/>
      <c r="TAC143" s="181"/>
      <c r="TAD143" s="181"/>
      <c r="TAE143" s="181"/>
      <c r="TAF143" s="181"/>
      <c r="TAG143" s="181"/>
      <c r="TAH143" s="181"/>
      <c r="TAI143" s="181"/>
      <c r="TAJ143" s="181"/>
      <c r="TAK143" s="181"/>
      <c r="TAL143" s="181"/>
      <c r="TAM143" s="181"/>
      <c r="TAN143" s="181"/>
      <c r="TAO143" s="181"/>
      <c r="TAP143" s="181"/>
      <c r="TAQ143" s="181"/>
      <c r="TAR143" s="181"/>
      <c r="TAS143" s="181"/>
      <c r="TAT143" s="181"/>
      <c r="TAU143" s="181"/>
      <c r="TAV143" s="181"/>
      <c r="TAW143" s="181"/>
      <c r="TAX143" s="181"/>
      <c r="TAY143" s="181"/>
      <c r="TAZ143" s="181"/>
      <c r="TBA143" s="181"/>
      <c r="TBB143" s="181"/>
      <c r="TBC143" s="181"/>
      <c r="TBD143" s="181"/>
      <c r="TBE143" s="181"/>
      <c r="TBF143" s="181"/>
      <c r="TBG143" s="181"/>
      <c r="TBH143" s="181"/>
      <c r="TBI143" s="181"/>
      <c r="TBJ143" s="181"/>
      <c r="TBK143" s="181"/>
      <c r="TBL143" s="181"/>
      <c r="TBM143" s="181"/>
      <c r="TBN143" s="181"/>
      <c r="TBO143" s="181"/>
      <c r="TBP143" s="181"/>
      <c r="TBQ143" s="181"/>
      <c r="TBR143" s="181"/>
      <c r="TBS143" s="181"/>
      <c r="TBT143" s="181"/>
      <c r="TBU143" s="181"/>
      <c r="TBV143" s="181"/>
      <c r="TBW143" s="181"/>
      <c r="TBX143" s="181"/>
      <c r="TBY143" s="181"/>
      <c r="TBZ143" s="181"/>
      <c r="TCA143" s="181"/>
      <c r="TCB143" s="181"/>
      <c r="TCC143" s="181"/>
      <c r="TCD143" s="181"/>
      <c r="TCE143" s="181"/>
      <c r="TCF143" s="181"/>
      <c r="TCG143" s="181"/>
      <c r="TCH143" s="181"/>
      <c r="TCI143" s="181"/>
      <c r="TCJ143" s="181"/>
      <c r="TCK143" s="181"/>
      <c r="TCL143" s="181"/>
      <c r="TCM143" s="181"/>
      <c r="TCN143" s="181"/>
      <c r="TCO143" s="181"/>
      <c r="TCP143" s="181"/>
      <c r="TCQ143" s="181"/>
      <c r="TCR143" s="181"/>
      <c r="TCS143" s="181"/>
      <c r="TCT143" s="181"/>
      <c r="TCU143" s="181"/>
      <c r="TCV143" s="181"/>
      <c r="TCW143" s="181"/>
      <c r="TCX143" s="181"/>
      <c r="TCY143" s="181"/>
      <c r="TCZ143" s="181"/>
      <c r="TDA143" s="181"/>
      <c r="TDB143" s="181"/>
      <c r="TDC143" s="181"/>
      <c r="TDD143" s="181"/>
      <c r="TDE143" s="181"/>
      <c r="TDF143" s="181"/>
      <c r="TDG143" s="181"/>
      <c r="TDH143" s="181"/>
      <c r="TDI143" s="181"/>
      <c r="TDJ143" s="181"/>
      <c r="TDK143" s="181"/>
      <c r="TDL143" s="181"/>
      <c r="TDM143" s="181"/>
      <c r="TDN143" s="181"/>
      <c r="TDO143" s="181"/>
      <c r="TDP143" s="181"/>
      <c r="TDQ143" s="181"/>
      <c r="TDR143" s="181"/>
      <c r="TDS143" s="181"/>
      <c r="TDT143" s="181"/>
      <c r="TDU143" s="181"/>
      <c r="TDV143" s="181"/>
      <c r="TDW143" s="181"/>
      <c r="TDX143" s="181"/>
      <c r="TDY143" s="181"/>
      <c r="TDZ143" s="181"/>
      <c r="TEA143" s="181"/>
      <c r="TEB143" s="181"/>
      <c r="TEC143" s="181"/>
      <c r="TED143" s="181"/>
      <c r="TEE143" s="181"/>
      <c r="TEF143" s="181"/>
      <c r="TEG143" s="181"/>
      <c r="TEH143" s="181"/>
      <c r="TEI143" s="181"/>
      <c r="TEJ143" s="181"/>
      <c r="TEK143" s="181"/>
      <c r="TEL143" s="181"/>
      <c r="TEM143" s="181"/>
      <c r="TEN143" s="181"/>
      <c r="TEO143" s="181"/>
      <c r="TEP143" s="181"/>
      <c r="TEQ143" s="181"/>
      <c r="TER143" s="181"/>
      <c r="TES143" s="181"/>
      <c r="TET143" s="181"/>
      <c r="TEU143" s="181"/>
      <c r="TEV143" s="181"/>
      <c r="TEW143" s="181"/>
      <c r="TEX143" s="181"/>
      <c r="TEY143" s="181"/>
      <c r="TEZ143" s="181"/>
      <c r="TFA143" s="181"/>
      <c r="TFB143" s="181"/>
      <c r="TFC143" s="181"/>
      <c r="TFD143" s="181"/>
      <c r="TFE143" s="181"/>
      <c r="TFF143" s="181"/>
      <c r="TFG143" s="181"/>
      <c r="TFH143" s="181"/>
      <c r="TFI143" s="181"/>
      <c r="TFJ143" s="181"/>
      <c r="TFK143" s="181"/>
      <c r="TFL143" s="181"/>
      <c r="TFM143" s="181"/>
      <c r="TFN143" s="181"/>
      <c r="TFO143" s="181"/>
      <c r="TFP143" s="181"/>
      <c r="TFQ143" s="181"/>
      <c r="TFR143" s="181"/>
      <c r="TFS143" s="181"/>
      <c r="TFT143" s="181"/>
      <c r="TFU143" s="181"/>
      <c r="TFV143" s="181"/>
      <c r="TFW143" s="181"/>
      <c r="TFX143" s="181"/>
      <c r="TFY143" s="181"/>
      <c r="TFZ143" s="181"/>
      <c r="TGA143" s="181"/>
      <c r="TGB143" s="181"/>
      <c r="TGC143" s="181"/>
      <c r="TGD143" s="181"/>
      <c r="TGE143" s="181"/>
      <c r="TGF143" s="181"/>
      <c r="TGG143" s="181"/>
      <c r="TGH143" s="181"/>
      <c r="TGI143" s="181"/>
      <c r="TGJ143" s="181"/>
      <c r="TGK143" s="181"/>
      <c r="TGL143" s="181"/>
      <c r="TGM143" s="181"/>
      <c r="TGN143" s="181"/>
      <c r="TGO143" s="181"/>
      <c r="TGP143" s="181"/>
      <c r="TGQ143" s="181"/>
      <c r="TGR143" s="181"/>
      <c r="TGS143" s="181"/>
      <c r="TGT143" s="181"/>
      <c r="TGU143" s="181"/>
      <c r="TGV143" s="181"/>
      <c r="TGW143" s="181"/>
      <c r="TGX143" s="181"/>
      <c r="TGY143" s="181"/>
      <c r="TGZ143" s="181"/>
      <c r="THA143" s="181"/>
      <c r="THB143" s="181"/>
      <c r="THC143" s="181"/>
      <c r="THD143" s="181"/>
      <c r="THE143" s="181"/>
      <c r="THF143" s="181"/>
      <c r="THG143" s="181"/>
      <c r="THH143" s="181"/>
      <c r="THI143" s="181"/>
      <c r="THJ143" s="181"/>
      <c r="THK143" s="181"/>
      <c r="THL143" s="181"/>
      <c r="THM143" s="181"/>
      <c r="THN143" s="181"/>
      <c r="THO143" s="181"/>
      <c r="THP143" s="181"/>
      <c r="THQ143" s="181"/>
      <c r="THR143" s="181"/>
      <c r="THS143" s="181"/>
      <c r="THT143" s="181"/>
      <c r="THU143" s="181"/>
      <c r="THV143" s="181"/>
      <c r="THW143" s="181"/>
      <c r="THX143" s="181"/>
      <c r="THY143" s="181"/>
      <c r="THZ143" s="181"/>
      <c r="TIA143" s="181"/>
      <c r="TIB143" s="181"/>
      <c r="TIC143" s="181"/>
      <c r="TID143" s="181"/>
      <c r="TIE143" s="181"/>
      <c r="TIF143" s="181"/>
      <c r="TIG143" s="181"/>
      <c r="TIH143" s="181"/>
      <c r="TII143" s="181"/>
      <c r="TIJ143" s="181"/>
      <c r="TIK143" s="181"/>
      <c r="TIL143" s="181"/>
      <c r="TIM143" s="181"/>
      <c r="TIN143" s="181"/>
      <c r="TIO143" s="181"/>
      <c r="TIP143" s="181"/>
      <c r="TIQ143" s="181"/>
      <c r="TIR143" s="181"/>
      <c r="TIS143" s="181"/>
      <c r="TIT143" s="181"/>
      <c r="TIU143" s="181"/>
      <c r="TIV143" s="181"/>
      <c r="TIW143" s="181"/>
      <c r="TIX143" s="181"/>
      <c r="TIY143" s="181"/>
      <c r="TIZ143" s="181"/>
      <c r="TJA143" s="181"/>
      <c r="TJB143" s="181"/>
      <c r="TJC143" s="181"/>
      <c r="TJD143" s="181"/>
      <c r="TJE143" s="181"/>
      <c r="TJF143" s="181"/>
      <c r="TJG143" s="181"/>
      <c r="TJH143" s="181"/>
      <c r="TJI143" s="181"/>
      <c r="TJJ143" s="181"/>
      <c r="TJK143" s="181"/>
      <c r="TJL143" s="181"/>
      <c r="TJM143" s="181"/>
      <c r="TJN143" s="181"/>
      <c r="TJO143" s="181"/>
      <c r="TJP143" s="181"/>
      <c r="TJQ143" s="181"/>
      <c r="TJR143" s="181"/>
      <c r="TJS143" s="181"/>
      <c r="TJT143" s="181"/>
      <c r="TJU143" s="181"/>
      <c r="TJV143" s="181"/>
      <c r="TJW143" s="181"/>
      <c r="TJX143" s="181"/>
      <c r="TJY143" s="181"/>
      <c r="TJZ143" s="181"/>
      <c r="TKA143" s="181"/>
      <c r="TKB143" s="181"/>
      <c r="TKC143" s="181"/>
      <c r="TKD143" s="181"/>
      <c r="TKE143" s="181"/>
      <c r="TKF143" s="181"/>
      <c r="TKG143" s="181"/>
      <c r="TKH143" s="181"/>
      <c r="TKI143" s="181"/>
      <c r="TKJ143" s="181"/>
      <c r="TKK143" s="181"/>
      <c r="TKL143" s="181"/>
      <c r="TKM143" s="181"/>
      <c r="TKN143" s="181"/>
      <c r="TKO143" s="181"/>
      <c r="TKP143" s="181"/>
      <c r="TKQ143" s="181"/>
      <c r="TKR143" s="181"/>
      <c r="TKS143" s="181"/>
      <c r="TKT143" s="181"/>
      <c r="TKU143" s="181"/>
      <c r="TKV143" s="181"/>
      <c r="TKW143" s="181"/>
      <c r="TKX143" s="181"/>
      <c r="TKY143" s="181"/>
      <c r="TKZ143" s="181"/>
      <c r="TLA143" s="181"/>
      <c r="TLB143" s="181"/>
      <c r="TLC143" s="181"/>
      <c r="TLD143" s="181"/>
      <c r="TLE143" s="181"/>
      <c r="TLF143" s="181"/>
      <c r="TLG143" s="181"/>
      <c r="TLH143" s="181"/>
      <c r="TLI143" s="181"/>
      <c r="TLJ143" s="181"/>
      <c r="TLK143" s="181"/>
      <c r="TLL143" s="181"/>
      <c r="TLM143" s="181"/>
      <c r="TLN143" s="181"/>
      <c r="TLO143" s="181"/>
      <c r="TLP143" s="181"/>
      <c r="TLQ143" s="181"/>
      <c r="TLR143" s="181"/>
      <c r="TLS143" s="181"/>
      <c r="TLT143" s="181"/>
      <c r="TLU143" s="181"/>
      <c r="TLV143" s="181"/>
      <c r="TLW143" s="181"/>
      <c r="TLX143" s="181"/>
      <c r="TLY143" s="181"/>
      <c r="TLZ143" s="181"/>
      <c r="TMA143" s="181"/>
      <c r="TMB143" s="181"/>
      <c r="TMC143" s="181"/>
      <c r="TMD143" s="181"/>
      <c r="TME143" s="181"/>
      <c r="TMF143" s="181"/>
      <c r="TMG143" s="181"/>
      <c r="TMH143" s="181"/>
      <c r="TMI143" s="181"/>
      <c r="TMJ143" s="181"/>
      <c r="TMK143" s="181"/>
      <c r="TML143" s="181"/>
      <c r="TMM143" s="181"/>
      <c r="TMN143" s="181"/>
      <c r="TMO143" s="181"/>
      <c r="TMP143" s="181"/>
      <c r="TMQ143" s="181"/>
      <c r="TMR143" s="181"/>
      <c r="TMS143" s="181"/>
      <c r="TMT143" s="181"/>
      <c r="TMU143" s="181"/>
      <c r="TMV143" s="181"/>
      <c r="TMW143" s="181"/>
      <c r="TMX143" s="181"/>
      <c r="TMY143" s="181"/>
      <c r="TMZ143" s="181"/>
      <c r="TNA143" s="181"/>
      <c r="TNB143" s="181"/>
      <c r="TNC143" s="181"/>
      <c r="TND143" s="181"/>
      <c r="TNE143" s="181"/>
      <c r="TNF143" s="181"/>
      <c r="TNG143" s="181"/>
      <c r="TNH143" s="181"/>
      <c r="TNI143" s="181"/>
      <c r="TNJ143" s="181"/>
      <c r="TNK143" s="181"/>
      <c r="TNL143" s="181"/>
      <c r="TNM143" s="181"/>
      <c r="TNN143" s="181"/>
      <c r="TNO143" s="181"/>
      <c r="TNP143" s="181"/>
      <c r="TNQ143" s="181"/>
      <c r="TNR143" s="181"/>
      <c r="TNS143" s="181"/>
      <c r="TNT143" s="181"/>
      <c r="TNU143" s="181"/>
      <c r="TNV143" s="181"/>
      <c r="TNW143" s="181"/>
      <c r="TNX143" s="181"/>
      <c r="TNY143" s="181"/>
      <c r="TNZ143" s="181"/>
      <c r="TOA143" s="181"/>
      <c r="TOB143" s="181"/>
      <c r="TOC143" s="181"/>
      <c r="TOD143" s="181"/>
      <c r="TOE143" s="181"/>
      <c r="TOF143" s="181"/>
      <c r="TOG143" s="181"/>
      <c r="TOH143" s="181"/>
      <c r="TOI143" s="181"/>
      <c r="TOJ143" s="181"/>
      <c r="TOK143" s="181"/>
      <c r="TOL143" s="181"/>
      <c r="TOM143" s="181"/>
      <c r="TON143" s="181"/>
      <c r="TOO143" s="181"/>
      <c r="TOP143" s="181"/>
      <c r="TOQ143" s="181"/>
      <c r="TOR143" s="181"/>
      <c r="TOS143" s="181"/>
      <c r="TOT143" s="181"/>
      <c r="TOU143" s="181"/>
      <c r="TOV143" s="181"/>
      <c r="TOW143" s="181"/>
      <c r="TOX143" s="181"/>
      <c r="TOY143" s="181"/>
      <c r="TOZ143" s="181"/>
      <c r="TPA143" s="181"/>
      <c r="TPB143" s="181"/>
      <c r="TPC143" s="181"/>
      <c r="TPD143" s="181"/>
      <c r="TPE143" s="181"/>
      <c r="TPF143" s="181"/>
      <c r="TPG143" s="181"/>
      <c r="TPH143" s="181"/>
      <c r="TPI143" s="181"/>
      <c r="TPJ143" s="181"/>
      <c r="TPK143" s="181"/>
      <c r="TPL143" s="181"/>
      <c r="TPM143" s="181"/>
      <c r="TPN143" s="181"/>
      <c r="TPO143" s="181"/>
      <c r="TPP143" s="181"/>
      <c r="TPQ143" s="181"/>
      <c r="TPR143" s="181"/>
      <c r="TPS143" s="181"/>
      <c r="TPT143" s="181"/>
      <c r="TPU143" s="181"/>
      <c r="TPV143" s="181"/>
      <c r="TPW143" s="181"/>
      <c r="TPX143" s="181"/>
      <c r="TPY143" s="181"/>
      <c r="TPZ143" s="181"/>
      <c r="TQA143" s="181"/>
      <c r="TQB143" s="181"/>
      <c r="TQC143" s="181"/>
      <c r="TQD143" s="181"/>
      <c r="TQE143" s="181"/>
      <c r="TQF143" s="181"/>
      <c r="TQG143" s="181"/>
      <c r="TQH143" s="181"/>
      <c r="TQI143" s="181"/>
      <c r="TQJ143" s="181"/>
      <c r="TQK143" s="181"/>
      <c r="TQL143" s="181"/>
      <c r="TQM143" s="181"/>
      <c r="TQN143" s="181"/>
      <c r="TQO143" s="181"/>
      <c r="TQP143" s="181"/>
      <c r="TQQ143" s="181"/>
      <c r="TQR143" s="181"/>
      <c r="TQS143" s="181"/>
      <c r="TQT143" s="181"/>
      <c r="TQU143" s="181"/>
      <c r="TQV143" s="181"/>
      <c r="TQW143" s="181"/>
      <c r="TQX143" s="181"/>
      <c r="TQY143" s="181"/>
      <c r="TQZ143" s="181"/>
      <c r="TRA143" s="181"/>
      <c r="TRB143" s="181"/>
      <c r="TRC143" s="181"/>
      <c r="TRD143" s="181"/>
      <c r="TRE143" s="181"/>
      <c r="TRF143" s="181"/>
      <c r="TRG143" s="181"/>
      <c r="TRH143" s="181"/>
      <c r="TRI143" s="181"/>
      <c r="TRJ143" s="181"/>
      <c r="TRK143" s="181"/>
      <c r="TRL143" s="181"/>
      <c r="TRM143" s="181"/>
      <c r="TRN143" s="181"/>
      <c r="TRO143" s="181"/>
      <c r="TRP143" s="181"/>
      <c r="TRQ143" s="181"/>
      <c r="TRR143" s="181"/>
      <c r="TRS143" s="181"/>
      <c r="TRT143" s="181"/>
      <c r="TRU143" s="181"/>
      <c r="TRV143" s="181"/>
      <c r="TRW143" s="181"/>
      <c r="TRX143" s="181"/>
      <c r="TRY143" s="181"/>
      <c r="TRZ143" s="181"/>
      <c r="TSA143" s="181"/>
      <c r="TSB143" s="181"/>
      <c r="TSC143" s="181"/>
      <c r="TSD143" s="181"/>
      <c r="TSE143" s="181"/>
      <c r="TSF143" s="181"/>
      <c r="TSG143" s="181"/>
      <c r="TSH143" s="181"/>
      <c r="TSI143" s="181"/>
      <c r="TSJ143" s="181"/>
      <c r="TSK143" s="181"/>
      <c r="TSL143" s="181"/>
      <c r="TSM143" s="181"/>
      <c r="TSN143" s="181"/>
      <c r="TSO143" s="181"/>
      <c r="TSP143" s="181"/>
      <c r="TSQ143" s="181"/>
      <c r="TSR143" s="181"/>
      <c r="TSS143" s="181"/>
      <c r="TST143" s="181"/>
      <c r="TSU143" s="181"/>
      <c r="TSV143" s="181"/>
      <c r="TSW143" s="181"/>
      <c r="TSX143" s="181"/>
      <c r="TSY143" s="181"/>
      <c r="TSZ143" s="181"/>
      <c r="TTA143" s="181"/>
      <c r="TTB143" s="181"/>
      <c r="TTC143" s="181"/>
      <c r="TTD143" s="181"/>
      <c r="TTE143" s="181"/>
      <c r="TTF143" s="181"/>
      <c r="TTG143" s="181"/>
      <c r="TTH143" s="181"/>
      <c r="TTI143" s="181"/>
      <c r="TTJ143" s="181"/>
      <c r="TTK143" s="181"/>
      <c r="TTL143" s="181"/>
      <c r="TTM143" s="181"/>
      <c r="TTN143" s="181"/>
      <c r="TTO143" s="181"/>
      <c r="TTP143" s="181"/>
      <c r="TTQ143" s="181"/>
      <c r="TTR143" s="181"/>
      <c r="TTS143" s="181"/>
      <c r="TTT143" s="181"/>
      <c r="TTU143" s="181"/>
      <c r="TTV143" s="181"/>
      <c r="TTW143" s="181"/>
      <c r="TTX143" s="181"/>
      <c r="TTY143" s="181"/>
      <c r="TTZ143" s="181"/>
      <c r="TUA143" s="181"/>
      <c r="TUB143" s="181"/>
      <c r="TUC143" s="181"/>
      <c r="TUD143" s="181"/>
      <c r="TUE143" s="181"/>
      <c r="TUF143" s="181"/>
      <c r="TUG143" s="181"/>
      <c r="TUH143" s="181"/>
      <c r="TUI143" s="181"/>
      <c r="TUJ143" s="181"/>
      <c r="TUK143" s="181"/>
      <c r="TUL143" s="181"/>
      <c r="TUM143" s="181"/>
      <c r="TUN143" s="181"/>
      <c r="TUO143" s="181"/>
      <c r="TUP143" s="181"/>
      <c r="TUQ143" s="181"/>
      <c r="TUR143" s="181"/>
      <c r="TUS143" s="181"/>
      <c r="TUT143" s="181"/>
      <c r="TUU143" s="181"/>
      <c r="TUV143" s="181"/>
      <c r="TUW143" s="181"/>
      <c r="TUX143" s="181"/>
      <c r="TUY143" s="181"/>
      <c r="TUZ143" s="181"/>
      <c r="TVA143" s="181"/>
      <c r="TVB143" s="181"/>
      <c r="TVC143" s="181"/>
      <c r="TVD143" s="181"/>
      <c r="TVE143" s="181"/>
      <c r="TVF143" s="181"/>
      <c r="TVG143" s="181"/>
      <c r="TVH143" s="181"/>
      <c r="TVI143" s="181"/>
      <c r="TVJ143" s="181"/>
      <c r="TVK143" s="181"/>
      <c r="TVL143" s="181"/>
      <c r="TVM143" s="181"/>
      <c r="TVN143" s="181"/>
      <c r="TVO143" s="181"/>
      <c r="TVP143" s="181"/>
      <c r="TVQ143" s="181"/>
      <c r="TVR143" s="181"/>
      <c r="TVS143" s="181"/>
      <c r="TVT143" s="181"/>
      <c r="TVU143" s="181"/>
      <c r="TVV143" s="181"/>
      <c r="TVW143" s="181"/>
      <c r="TVX143" s="181"/>
      <c r="TVY143" s="181"/>
      <c r="TVZ143" s="181"/>
      <c r="TWA143" s="181"/>
      <c r="TWB143" s="181"/>
      <c r="TWC143" s="181"/>
      <c r="TWD143" s="181"/>
      <c r="TWE143" s="181"/>
      <c r="TWF143" s="181"/>
      <c r="TWG143" s="181"/>
      <c r="TWH143" s="181"/>
      <c r="TWI143" s="181"/>
      <c r="TWJ143" s="181"/>
      <c r="TWK143" s="181"/>
      <c r="TWL143" s="181"/>
      <c r="TWM143" s="181"/>
      <c r="TWN143" s="181"/>
      <c r="TWO143" s="181"/>
      <c r="TWP143" s="181"/>
      <c r="TWQ143" s="181"/>
      <c r="TWR143" s="181"/>
      <c r="TWS143" s="181"/>
      <c r="TWT143" s="181"/>
      <c r="TWU143" s="181"/>
      <c r="TWV143" s="181"/>
      <c r="TWW143" s="181"/>
      <c r="TWX143" s="181"/>
      <c r="TWY143" s="181"/>
      <c r="TWZ143" s="181"/>
      <c r="TXA143" s="181"/>
      <c r="TXB143" s="181"/>
      <c r="TXC143" s="181"/>
      <c r="TXD143" s="181"/>
      <c r="TXE143" s="181"/>
      <c r="TXF143" s="181"/>
      <c r="TXG143" s="181"/>
      <c r="TXH143" s="181"/>
      <c r="TXI143" s="181"/>
      <c r="TXJ143" s="181"/>
      <c r="TXK143" s="181"/>
      <c r="TXL143" s="181"/>
      <c r="TXM143" s="181"/>
      <c r="TXN143" s="181"/>
      <c r="TXO143" s="181"/>
      <c r="TXP143" s="181"/>
      <c r="TXQ143" s="181"/>
      <c r="TXR143" s="181"/>
      <c r="TXS143" s="181"/>
      <c r="TXT143" s="181"/>
      <c r="TXU143" s="181"/>
      <c r="TXV143" s="181"/>
      <c r="TXW143" s="181"/>
      <c r="TXX143" s="181"/>
      <c r="TXY143" s="181"/>
      <c r="TXZ143" s="181"/>
      <c r="TYA143" s="181"/>
      <c r="TYB143" s="181"/>
      <c r="TYC143" s="181"/>
      <c r="TYD143" s="181"/>
      <c r="TYE143" s="181"/>
      <c r="TYF143" s="181"/>
      <c r="TYG143" s="181"/>
      <c r="TYH143" s="181"/>
      <c r="TYI143" s="181"/>
      <c r="TYJ143" s="181"/>
      <c r="TYK143" s="181"/>
      <c r="TYL143" s="181"/>
      <c r="TYM143" s="181"/>
      <c r="TYN143" s="181"/>
      <c r="TYO143" s="181"/>
      <c r="TYP143" s="181"/>
      <c r="TYQ143" s="181"/>
      <c r="TYR143" s="181"/>
      <c r="TYS143" s="181"/>
      <c r="TYT143" s="181"/>
      <c r="TYU143" s="181"/>
      <c r="TYV143" s="181"/>
      <c r="TYW143" s="181"/>
      <c r="TYX143" s="181"/>
      <c r="TYY143" s="181"/>
      <c r="TYZ143" s="181"/>
      <c r="TZA143" s="181"/>
      <c r="TZB143" s="181"/>
      <c r="TZC143" s="181"/>
      <c r="TZD143" s="181"/>
      <c r="TZE143" s="181"/>
      <c r="TZF143" s="181"/>
      <c r="TZG143" s="181"/>
      <c r="TZH143" s="181"/>
      <c r="TZI143" s="181"/>
      <c r="TZJ143" s="181"/>
      <c r="TZK143" s="181"/>
      <c r="TZL143" s="181"/>
      <c r="TZM143" s="181"/>
      <c r="TZN143" s="181"/>
      <c r="TZO143" s="181"/>
      <c r="TZP143" s="181"/>
      <c r="TZQ143" s="181"/>
      <c r="TZR143" s="181"/>
      <c r="TZS143" s="181"/>
      <c r="TZT143" s="181"/>
      <c r="TZU143" s="181"/>
      <c r="TZV143" s="181"/>
      <c r="TZW143" s="181"/>
      <c r="TZX143" s="181"/>
      <c r="TZY143" s="181"/>
      <c r="TZZ143" s="181"/>
      <c r="UAA143" s="181"/>
      <c r="UAB143" s="181"/>
      <c r="UAC143" s="181"/>
      <c r="UAD143" s="181"/>
      <c r="UAE143" s="181"/>
      <c r="UAF143" s="181"/>
      <c r="UAG143" s="181"/>
      <c r="UAH143" s="181"/>
      <c r="UAI143" s="181"/>
      <c r="UAJ143" s="181"/>
      <c r="UAK143" s="181"/>
      <c r="UAL143" s="181"/>
      <c r="UAM143" s="181"/>
      <c r="UAN143" s="181"/>
      <c r="UAO143" s="181"/>
      <c r="UAP143" s="181"/>
      <c r="UAQ143" s="181"/>
      <c r="UAR143" s="181"/>
      <c r="UAS143" s="181"/>
      <c r="UAT143" s="181"/>
      <c r="UAU143" s="181"/>
      <c r="UAV143" s="181"/>
      <c r="UAW143" s="181"/>
      <c r="UAX143" s="181"/>
      <c r="UAY143" s="181"/>
      <c r="UAZ143" s="181"/>
      <c r="UBA143" s="181"/>
      <c r="UBB143" s="181"/>
      <c r="UBC143" s="181"/>
      <c r="UBD143" s="181"/>
      <c r="UBE143" s="181"/>
      <c r="UBF143" s="181"/>
      <c r="UBG143" s="181"/>
      <c r="UBH143" s="181"/>
      <c r="UBI143" s="181"/>
      <c r="UBJ143" s="181"/>
      <c r="UBK143" s="181"/>
      <c r="UBL143" s="181"/>
      <c r="UBM143" s="181"/>
      <c r="UBN143" s="181"/>
      <c r="UBO143" s="181"/>
      <c r="UBP143" s="181"/>
      <c r="UBQ143" s="181"/>
      <c r="UBR143" s="181"/>
      <c r="UBS143" s="181"/>
      <c r="UBT143" s="181"/>
      <c r="UBU143" s="181"/>
      <c r="UBV143" s="181"/>
      <c r="UBW143" s="181"/>
      <c r="UBX143" s="181"/>
      <c r="UBY143" s="181"/>
      <c r="UBZ143" s="181"/>
      <c r="UCA143" s="181"/>
      <c r="UCB143" s="181"/>
      <c r="UCC143" s="181"/>
      <c r="UCD143" s="181"/>
      <c r="UCE143" s="181"/>
      <c r="UCF143" s="181"/>
      <c r="UCG143" s="181"/>
      <c r="UCH143" s="181"/>
      <c r="UCI143" s="181"/>
      <c r="UCJ143" s="181"/>
      <c r="UCK143" s="181"/>
      <c r="UCL143" s="181"/>
      <c r="UCM143" s="181"/>
      <c r="UCN143" s="181"/>
      <c r="UCO143" s="181"/>
      <c r="UCP143" s="181"/>
      <c r="UCQ143" s="181"/>
      <c r="UCR143" s="181"/>
      <c r="UCS143" s="181"/>
      <c r="UCT143" s="181"/>
      <c r="UCU143" s="181"/>
      <c r="UCV143" s="181"/>
      <c r="UCW143" s="181"/>
      <c r="UCX143" s="181"/>
      <c r="UCY143" s="181"/>
      <c r="UCZ143" s="181"/>
      <c r="UDA143" s="181"/>
      <c r="UDB143" s="181"/>
      <c r="UDC143" s="181"/>
      <c r="UDD143" s="181"/>
      <c r="UDE143" s="181"/>
      <c r="UDF143" s="181"/>
      <c r="UDG143" s="181"/>
      <c r="UDH143" s="181"/>
      <c r="UDI143" s="181"/>
      <c r="UDJ143" s="181"/>
      <c r="UDK143" s="181"/>
      <c r="UDL143" s="181"/>
      <c r="UDM143" s="181"/>
      <c r="UDN143" s="181"/>
      <c r="UDO143" s="181"/>
      <c r="UDP143" s="181"/>
      <c r="UDQ143" s="181"/>
      <c r="UDR143" s="181"/>
      <c r="UDS143" s="181"/>
      <c r="UDT143" s="181"/>
      <c r="UDU143" s="181"/>
      <c r="UDV143" s="181"/>
      <c r="UDW143" s="181"/>
      <c r="UDX143" s="181"/>
      <c r="UDY143" s="181"/>
      <c r="UDZ143" s="181"/>
      <c r="UEA143" s="181"/>
      <c r="UEB143" s="181"/>
      <c r="UEC143" s="181"/>
      <c r="UED143" s="181"/>
      <c r="UEE143" s="181"/>
      <c r="UEF143" s="181"/>
      <c r="UEG143" s="181"/>
      <c r="UEH143" s="181"/>
      <c r="UEI143" s="181"/>
      <c r="UEJ143" s="181"/>
      <c r="UEK143" s="181"/>
      <c r="UEL143" s="181"/>
      <c r="UEM143" s="181"/>
      <c r="UEN143" s="181"/>
      <c r="UEO143" s="181"/>
      <c r="UEP143" s="181"/>
      <c r="UEQ143" s="181"/>
      <c r="UER143" s="181"/>
      <c r="UES143" s="181"/>
      <c r="UET143" s="181"/>
      <c r="UEU143" s="181"/>
      <c r="UEV143" s="181"/>
      <c r="UEW143" s="181"/>
      <c r="UEX143" s="181"/>
      <c r="UEY143" s="181"/>
      <c r="UEZ143" s="181"/>
      <c r="UFA143" s="181"/>
      <c r="UFB143" s="181"/>
      <c r="UFC143" s="181"/>
      <c r="UFD143" s="181"/>
      <c r="UFE143" s="181"/>
      <c r="UFF143" s="181"/>
      <c r="UFG143" s="181"/>
      <c r="UFH143" s="181"/>
      <c r="UFI143" s="181"/>
      <c r="UFJ143" s="181"/>
      <c r="UFK143" s="181"/>
      <c r="UFL143" s="181"/>
      <c r="UFM143" s="181"/>
      <c r="UFN143" s="181"/>
      <c r="UFO143" s="181"/>
      <c r="UFP143" s="181"/>
      <c r="UFQ143" s="181"/>
      <c r="UFR143" s="181"/>
      <c r="UFS143" s="181"/>
      <c r="UFT143" s="181"/>
      <c r="UFU143" s="181"/>
      <c r="UFV143" s="181"/>
      <c r="UFW143" s="181"/>
      <c r="UFX143" s="181"/>
      <c r="UFY143" s="181"/>
      <c r="UFZ143" s="181"/>
      <c r="UGA143" s="181"/>
      <c r="UGB143" s="181"/>
      <c r="UGC143" s="181"/>
      <c r="UGD143" s="181"/>
      <c r="UGE143" s="181"/>
      <c r="UGF143" s="181"/>
      <c r="UGG143" s="181"/>
      <c r="UGH143" s="181"/>
      <c r="UGI143" s="181"/>
      <c r="UGJ143" s="181"/>
      <c r="UGK143" s="181"/>
      <c r="UGL143" s="181"/>
      <c r="UGM143" s="181"/>
      <c r="UGN143" s="181"/>
      <c r="UGO143" s="181"/>
      <c r="UGP143" s="181"/>
      <c r="UGQ143" s="181"/>
      <c r="UGR143" s="181"/>
      <c r="UGS143" s="181"/>
      <c r="UGT143" s="181"/>
      <c r="UGU143" s="181"/>
      <c r="UGV143" s="181"/>
      <c r="UGW143" s="181"/>
      <c r="UGX143" s="181"/>
      <c r="UGY143" s="181"/>
      <c r="UGZ143" s="181"/>
      <c r="UHA143" s="181"/>
      <c r="UHB143" s="181"/>
      <c r="UHC143" s="181"/>
      <c r="UHD143" s="181"/>
      <c r="UHE143" s="181"/>
      <c r="UHF143" s="181"/>
      <c r="UHG143" s="181"/>
      <c r="UHH143" s="181"/>
      <c r="UHI143" s="181"/>
      <c r="UHJ143" s="181"/>
      <c r="UHK143" s="181"/>
      <c r="UHL143" s="181"/>
      <c r="UHM143" s="181"/>
      <c r="UHN143" s="181"/>
      <c r="UHO143" s="181"/>
      <c r="UHP143" s="181"/>
      <c r="UHQ143" s="181"/>
      <c r="UHR143" s="181"/>
      <c r="UHS143" s="181"/>
      <c r="UHT143" s="181"/>
      <c r="UHU143" s="181"/>
      <c r="UHV143" s="181"/>
      <c r="UHW143" s="181"/>
      <c r="UHX143" s="181"/>
      <c r="UHY143" s="181"/>
      <c r="UHZ143" s="181"/>
      <c r="UIA143" s="181"/>
      <c r="UIB143" s="181"/>
      <c r="UIC143" s="181"/>
      <c r="UID143" s="181"/>
      <c r="UIE143" s="181"/>
      <c r="UIF143" s="181"/>
      <c r="UIG143" s="181"/>
      <c r="UIH143" s="181"/>
      <c r="UII143" s="181"/>
      <c r="UIJ143" s="181"/>
      <c r="UIK143" s="181"/>
      <c r="UIL143" s="181"/>
      <c r="UIM143" s="181"/>
      <c r="UIN143" s="181"/>
      <c r="UIO143" s="181"/>
      <c r="UIP143" s="181"/>
      <c r="UIQ143" s="181"/>
      <c r="UIR143" s="181"/>
      <c r="UIS143" s="181"/>
      <c r="UIT143" s="181"/>
      <c r="UIU143" s="181"/>
      <c r="UIV143" s="181"/>
      <c r="UIW143" s="181"/>
      <c r="UIX143" s="181"/>
      <c r="UIY143" s="181"/>
      <c r="UIZ143" s="181"/>
      <c r="UJA143" s="181"/>
      <c r="UJB143" s="181"/>
      <c r="UJC143" s="181"/>
      <c r="UJD143" s="181"/>
      <c r="UJE143" s="181"/>
      <c r="UJF143" s="181"/>
      <c r="UJG143" s="181"/>
      <c r="UJH143" s="181"/>
      <c r="UJI143" s="181"/>
      <c r="UJJ143" s="181"/>
      <c r="UJK143" s="181"/>
      <c r="UJL143" s="181"/>
      <c r="UJM143" s="181"/>
      <c r="UJN143" s="181"/>
      <c r="UJO143" s="181"/>
      <c r="UJP143" s="181"/>
      <c r="UJQ143" s="181"/>
      <c r="UJR143" s="181"/>
      <c r="UJS143" s="181"/>
      <c r="UJT143" s="181"/>
      <c r="UJU143" s="181"/>
      <c r="UJV143" s="181"/>
      <c r="UJW143" s="181"/>
      <c r="UJX143" s="181"/>
      <c r="UJY143" s="181"/>
      <c r="UJZ143" s="181"/>
      <c r="UKA143" s="181"/>
      <c r="UKB143" s="181"/>
      <c r="UKC143" s="181"/>
      <c r="UKD143" s="181"/>
      <c r="UKE143" s="181"/>
      <c r="UKF143" s="181"/>
      <c r="UKG143" s="181"/>
      <c r="UKH143" s="181"/>
      <c r="UKI143" s="181"/>
      <c r="UKJ143" s="181"/>
      <c r="UKK143" s="181"/>
      <c r="UKL143" s="181"/>
      <c r="UKM143" s="181"/>
      <c r="UKN143" s="181"/>
      <c r="UKO143" s="181"/>
      <c r="UKP143" s="181"/>
      <c r="UKQ143" s="181"/>
      <c r="UKR143" s="181"/>
      <c r="UKS143" s="181"/>
      <c r="UKT143" s="181"/>
      <c r="UKU143" s="181"/>
      <c r="UKV143" s="181"/>
      <c r="UKW143" s="181"/>
      <c r="UKX143" s="181"/>
      <c r="UKY143" s="181"/>
      <c r="UKZ143" s="181"/>
      <c r="ULA143" s="181"/>
      <c r="ULB143" s="181"/>
      <c r="ULC143" s="181"/>
      <c r="ULD143" s="181"/>
      <c r="ULE143" s="181"/>
      <c r="ULF143" s="181"/>
      <c r="ULG143" s="181"/>
      <c r="ULH143" s="181"/>
      <c r="ULI143" s="181"/>
      <c r="ULJ143" s="181"/>
      <c r="ULK143" s="181"/>
      <c r="ULL143" s="181"/>
      <c r="ULM143" s="181"/>
      <c r="ULN143" s="181"/>
      <c r="ULO143" s="181"/>
      <c r="ULP143" s="181"/>
      <c r="ULQ143" s="181"/>
      <c r="ULR143" s="181"/>
      <c r="ULS143" s="181"/>
      <c r="ULT143" s="181"/>
      <c r="ULU143" s="181"/>
      <c r="ULV143" s="181"/>
      <c r="ULW143" s="181"/>
      <c r="ULX143" s="181"/>
      <c r="ULY143" s="181"/>
      <c r="ULZ143" s="181"/>
      <c r="UMA143" s="181"/>
      <c r="UMB143" s="181"/>
      <c r="UMC143" s="181"/>
      <c r="UMD143" s="181"/>
      <c r="UME143" s="181"/>
      <c r="UMF143" s="181"/>
      <c r="UMG143" s="181"/>
      <c r="UMH143" s="181"/>
      <c r="UMI143" s="181"/>
      <c r="UMJ143" s="181"/>
      <c r="UMK143" s="181"/>
      <c r="UML143" s="181"/>
      <c r="UMM143" s="181"/>
      <c r="UMN143" s="181"/>
      <c r="UMO143" s="181"/>
      <c r="UMP143" s="181"/>
      <c r="UMQ143" s="181"/>
      <c r="UMR143" s="181"/>
      <c r="UMS143" s="181"/>
      <c r="UMT143" s="181"/>
      <c r="UMU143" s="181"/>
      <c r="UMV143" s="181"/>
      <c r="UMW143" s="181"/>
      <c r="UMX143" s="181"/>
      <c r="UMY143" s="181"/>
      <c r="UMZ143" s="181"/>
      <c r="UNA143" s="181"/>
      <c r="UNB143" s="181"/>
      <c r="UNC143" s="181"/>
      <c r="UND143" s="181"/>
      <c r="UNE143" s="181"/>
      <c r="UNF143" s="181"/>
      <c r="UNG143" s="181"/>
      <c r="UNH143" s="181"/>
      <c r="UNI143" s="181"/>
      <c r="UNJ143" s="181"/>
      <c r="UNK143" s="181"/>
      <c r="UNL143" s="181"/>
      <c r="UNM143" s="181"/>
      <c r="UNN143" s="181"/>
      <c r="UNO143" s="181"/>
      <c r="UNP143" s="181"/>
      <c r="UNQ143" s="181"/>
      <c r="UNR143" s="181"/>
      <c r="UNS143" s="181"/>
      <c r="UNT143" s="181"/>
      <c r="UNU143" s="181"/>
      <c r="UNV143" s="181"/>
      <c r="UNW143" s="181"/>
      <c r="UNX143" s="181"/>
      <c r="UNY143" s="181"/>
      <c r="UNZ143" s="181"/>
      <c r="UOA143" s="181"/>
      <c r="UOB143" s="181"/>
      <c r="UOC143" s="181"/>
      <c r="UOD143" s="181"/>
      <c r="UOE143" s="181"/>
      <c r="UOF143" s="181"/>
      <c r="UOG143" s="181"/>
      <c r="UOH143" s="181"/>
      <c r="UOI143" s="181"/>
      <c r="UOJ143" s="181"/>
      <c r="UOK143" s="181"/>
      <c r="UOL143" s="181"/>
      <c r="UOM143" s="181"/>
      <c r="UON143" s="181"/>
      <c r="UOO143" s="181"/>
      <c r="UOP143" s="181"/>
      <c r="UOQ143" s="181"/>
      <c r="UOR143" s="181"/>
      <c r="UOS143" s="181"/>
      <c r="UOT143" s="181"/>
      <c r="UOU143" s="181"/>
      <c r="UOV143" s="181"/>
      <c r="UOW143" s="181"/>
      <c r="UOX143" s="181"/>
      <c r="UOY143" s="181"/>
      <c r="UOZ143" s="181"/>
      <c r="UPA143" s="181"/>
      <c r="UPB143" s="181"/>
      <c r="UPC143" s="181"/>
      <c r="UPD143" s="181"/>
      <c r="UPE143" s="181"/>
      <c r="UPF143" s="181"/>
      <c r="UPG143" s="181"/>
      <c r="UPH143" s="181"/>
      <c r="UPI143" s="181"/>
      <c r="UPJ143" s="181"/>
      <c r="UPK143" s="181"/>
      <c r="UPL143" s="181"/>
      <c r="UPM143" s="181"/>
      <c r="UPN143" s="181"/>
      <c r="UPO143" s="181"/>
      <c r="UPP143" s="181"/>
      <c r="UPQ143" s="181"/>
      <c r="UPR143" s="181"/>
      <c r="UPS143" s="181"/>
      <c r="UPT143" s="181"/>
      <c r="UPU143" s="181"/>
      <c r="UPV143" s="181"/>
      <c r="UPW143" s="181"/>
      <c r="UPX143" s="181"/>
      <c r="UPY143" s="181"/>
      <c r="UPZ143" s="181"/>
      <c r="UQA143" s="181"/>
      <c r="UQB143" s="181"/>
      <c r="UQC143" s="181"/>
      <c r="UQD143" s="181"/>
      <c r="UQE143" s="181"/>
      <c r="UQF143" s="181"/>
      <c r="UQG143" s="181"/>
      <c r="UQH143" s="181"/>
      <c r="UQI143" s="181"/>
      <c r="UQJ143" s="181"/>
      <c r="UQK143" s="181"/>
      <c r="UQL143" s="181"/>
      <c r="UQM143" s="181"/>
      <c r="UQN143" s="181"/>
      <c r="UQO143" s="181"/>
      <c r="UQP143" s="181"/>
      <c r="UQQ143" s="181"/>
      <c r="UQR143" s="181"/>
      <c r="UQS143" s="181"/>
      <c r="UQT143" s="181"/>
      <c r="UQU143" s="181"/>
      <c r="UQV143" s="181"/>
      <c r="UQW143" s="181"/>
      <c r="UQX143" s="181"/>
      <c r="UQY143" s="181"/>
      <c r="UQZ143" s="181"/>
      <c r="URA143" s="181"/>
      <c r="URB143" s="181"/>
      <c r="URC143" s="181"/>
      <c r="URD143" s="181"/>
      <c r="URE143" s="181"/>
      <c r="URF143" s="181"/>
      <c r="URG143" s="181"/>
      <c r="URH143" s="181"/>
      <c r="URI143" s="181"/>
      <c r="URJ143" s="181"/>
      <c r="URK143" s="181"/>
      <c r="URL143" s="181"/>
      <c r="URM143" s="181"/>
      <c r="URN143" s="181"/>
      <c r="URO143" s="181"/>
      <c r="URP143" s="181"/>
      <c r="URQ143" s="181"/>
      <c r="URR143" s="181"/>
      <c r="URS143" s="181"/>
      <c r="URT143" s="181"/>
      <c r="URU143" s="181"/>
      <c r="URV143" s="181"/>
      <c r="URW143" s="181"/>
      <c r="URX143" s="181"/>
      <c r="URY143" s="181"/>
      <c r="URZ143" s="181"/>
      <c r="USA143" s="181"/>
      <c r="USB143" s="181"/>
      <c r="USC143" s="181"/>
      <c r="USD143" s="181"/>
      <c r="USE143" s="181"/>
      <c r="USF143" s="181"/>
      <c r="USG143" s="181"/>
      <c r="USH143" s="181"/>
      <c r="USI143" s="181"/>
      <c r="USJ143" s="181"/>
      <c r="USK143" s="181"/>
      <c r="USL143" s="181"/>
      <c r="USM143" s="181"/>
      <c r="USN143" s="181"/>
      <c r="USO143" s="181"/>
      <c r="USP143" s="181"/>
      <c r="USQ143" s="181"/>
      <c r="USR143" s="181"/>
      <c r="USS143" s="181"/>
      <c r="UST143" s="181"/>
      <c r="USU143" s="181"/>
      <c r="USV143" s="181"/>
      <c r="USW143" s="181"/>
      <c r="USX143" s="181"/>
      <c r="USY143" s="181"/>
      <c r="USZ143" s="181"/>
      <c r="UTA143" s="181"/>
      <c r="UTB143" s="181"/>
      <c r="UTC143" s="181"/>
      <c r="UTD143" s="181"/>
      <c r="UTE143" s="181"/>
      <c r="UTF143" s="181"/>
      <c r="UTG143" s="181"/>
      <c r="UTH143" s="181"/>
      <c r="UTI143" s="181"/>
      <c r="UTJ143" s="181"/>
      <c r="UTK143" s="181"/>
      <c r="UTL143" s="181"/>
      <c r="UTM143" s="181"/>
      <c r="UTN143" s="181"/>
      <c r="UTO143" s="181"/>
      <c r="UTP143" s="181"/>
      <c r="UTQ143" s="181"/>
      <c r="UTR143" s="181"/>
      <c r="UTS143" s="181"/>
      <c r="UTT143" s="181"/>
      <c r="UTU143" s="181"/>
      <c r="UTV143" s="181"/>
      <c r="UTW143" s="181"/>
      <c r="UTX143" s="181"/>
      <c r="UTY143" s="181"/>
      <c r="UTZ143" s="181"/>
      <c r="UUA143" s="181"/>
      <c r="UUB143" s="181"/>
      <c r="UUC143" s="181"/>
      <c r="UUD143" s="181"/>
      <c r="UUE143" s="181"/>
      <c r="UUF143" s="181"/>
      <c r="UUG143" s="181"/>
      <c r="UUH143" s="181"/>
      <c r="UUI143" s="181"/>
      <c r="UUJ143" s="181"/>
      <c r="UUK143" s="181"/>
      <c r="UUL143" s="181"/>
      <c r="UUM143" s="181"/>
      <c r="UUN143" s="181"/>
      <c r="UUO143" s="181"/>
      <c r="UUP143" s="181"/>
      <c r="UUQ143" s="181"/>
      <c r="UUR143" s="181"/>
      <c r="UUS143" s="181"/>
      <c r="UUT143" s="181"/>
      <c r="UUU143" s="181"/>
      <c r="UUV143" s="181"/>
      <c r="UUW143" s="181"/>
      <c r="UUX143" s="181"/>
      <c r="UUY143" s="181"/>
      <c r="UUZ143" s="181"/>
      <c r="UVA143" s="181"/>
      <c r="UVB143" s="181"/>
      <c r="UVC143" s="181"/>
      <c r="UVD143" s="181"/>
      <c r="UVE143" s="181"/>
      <c r="UVF143" s="181"/>
      <c r="UVG143" s="181"/>
      <c r="UVH143" s="181"/>
      <c r="UVI143" s="181"/>
      <c r="UVJ143" s="181"/>
      <c r="UVK143" s="181"/>
      <c r="UVL143" s="181"/>
      <c r="UVM143" s="181"/>
      <c r="UVN143" s="181"/>
      <c r="UVO143" s="181"/>
      <c r="UVP143" s="181"/>
      <c r="UVQ143" s="181"/>
      <c r="UVR143" s="181"/>
      <c r="UVS143" s="181"/>
      <c r="UVT143" s="181"/>
      <c r="UVU143" s="181"/>
      <c r="UVV143" s="181"/>
      <c r="UVW143" s="181"/>
      <c r="UVX143" s="181"/>
      <c r="UVY143" s="181"/>
      <c r="UVZ143" s="181"/>
      <c r="UWA143" s="181"/>
      <c r="UWB143" s="181"/>
      <c r="UWC143" s="181"/>
      <c r="UWD143" s="181"/>
      <c r="UWE143" s="181"/>
      <c r="UWF143" s="181"/>
      <c r="UWG143" s="181"/>
      <c r="UWH143" s="181"/>
      <c r="UWI143" s="181"/>
      <c r="UWJ143" s="181"/>
      <c r="UWK143" s="181"/>
      <c r="UWL143" s="181"/>
      <c r="UWM143" s="181"/>
      <c r="UWN143" s="181"/>
      <c r="UWO143" s="181"/>
      <c r="UWP143" s="181"/>
      <c r="UWQ143" s="181"/>
      <c r="UWR143" s="181"/>
      <c r="UWS143" s="181"/>
      <c r="UWT143" s="181"/>
      <c r="UWU143" s="181"/>
      <c r="UWV143" s="181"/>
      <c r="UWW143" s="181"/>
      <c r="UWX143" s="181"/>
      <c r="UWY143" s="181"/>
      <c r="UWZ143" s="181"/>
      <c r="UXA143" s="181"/>
      <c r="UXB143" s="181"/>
      <c r="UXC143" s="181"/>
      <c r="UXD143" s="181"/>
      <c r="UXE143" s="181"/>
      <c r="UXF143" s="181"/>
      <c r="UXG143" s="181"/>
      <c r="UXH143" s="181"/>
      <c r="UXI143" s="181"/>
      <c r="UXJ143" s="181"/>
      <c r="UXK143" s="181"/>
      <c r="UXL143" s="181"/>
      <c r="UXM143" s="181"/>
      <c r="UXN143" s="181"/>
      <c r="UXO143" s="181"/>
      <c r="UXP143" s="181"/>
      <c r="UXQ143" s="181"/>
      <c r="UXR143" s="181"/>
      <c r="UXS143" s="181"/>
      <c r="UXT143" s="181"/>
      <c r="UXU143" s="181"/>
      <c r="UXV143" s="181"/>
      <c r="UXW143" s="181"/>
      <c r="UXX143" s="181"/>
      <c r="UXY143" s="181"/>
      <c r="UXZ143" s="181"/>
      <c r="UYA143" s="181"/>
      <c r="UYB143" s="181"/>
      <c r="UYC143" s="181"/>
      <c r="UYD143" s="181"/>
      <c r="UYE143" s="181"/>
      <c r="UYF143" s="181"/>
      <c r="UYG143" s="181"/>
      <c r="UYH143" s="181"/>
      <c r="UYI143" s="181"/>
      <c r="UYJ143" s="181"/>
      <c r="UYK143" s="181"/>
      <c r="UYL143" s="181"/>
      <c r="UYM143" s="181"/>
      <c r="UYN143" s="181"/>
      <c r="UYO143" s="181"/>
      <c r="UYP143" s="181"/>
      <c r="UYQ143" s="181"/>
      <c r="UYR143" s="181"/>
      <c r="UYS143" s="181"/>
      <c r="UYT143" s="181"/>
      <c r="UYU143" s="181"/>
      <c r="UYV143" s="181"/>
      <c r="UYW143" s="181"/>
      <c r="UYX143" s="181"/>
      <c r="UYY143" s="181"/>
      <c r="UYZ143" s="181"/>
      <c r="UZA143" s="181"/>
      <c r="UZB143" s="181"/>
      <c r="UZC143" s="181"/>
      <c r="UZD143" s="181"/>
      <c r="UZE143" s="181"/>
      <c r="UZF143" s="181"/>
      <c r="UZG143" s="181"/>
      <c r="UZH143" s="181"/>
      <c r="UZI143" s="181"/>
      <c r="UZJ143" s="181"/>
      <c r="UZK143" s="181"/>
      <c r="UZL143" s="181"/>
      <c r="UZM143" s="181"/>
      <c r="UZN143" s="181"/>
      <c r="UZO143" s="181"/>
      <c r="UZP143" s="181"/>
      <c r="UZQ143" s="181"/>
      <c r="UZR143" s="181"/>
      <c r="UZS143" s="181"/>
      <c r="UZT143" s="181"/>
      <c r="UZU143" s="181"/>
      <c r="UZV143" s="181"/>
      <c r="UZW143" s="181"/>
      <c r="UZX143" s="181"/>
      <c r="UZY143" s="181"/>
      <c r="UZZ143" s="181"/>
      <c r="VAA143" s="181"/>
      <c r="VAB143" s="181"/>
      <c r="VAC143" s="181"/>
      <c r="VAD143" s="181"/>
      <c r="VAE143" s="181"/>
      <c r="VAF143" s="181"/>
      <c r="VAG143" s="181"/>
      <c r="VAH143" s="181"/>
      <c r="VAI143" s="181"/>
      <c r="VAJ143" s="181"/>
      <c r="VAK143" s="181"/>
      <c r="VAL143" s="181"/>
      <c r="VAM143" s="181"/>
      <c r="VAN143" s="181"/>
      <c r="VAO143" s="181"/>
      <c r="VAP143" s="181"/>
      <c r="VAQ143" s="181"/>
      <c r="VAR143" s="181"/>
      <c r="VAS143" s="181"/>
      <c r="VAT143" s="181"/>
      <c r="VAU143" s="181"/>
      <c r="VAV143" s="181"/>
      <c r="VAW143" s="181"/>
      <c r="VAX143" s="181"/>
      <c r="VAY143" s="181"/>
      <c r="VAZ143" s="181"/>
      <c r="VBA143" s="181"/>
      <c r="VBB143" s="181"/>
      <c r="VBC143" s="181"/>
      <c r="VBD143" s="181"/>
      <c r="VBE143" s="181"/>
      <c r="VBF143" s="181"/>
      <c r="VBG143" s="181"/>
      <c r="VBH143" s="181"/>
      <c r="VBI143" s="181"/>
      <c r="VBJ143" s="181"/>
      <c r="VBK143" s="181"/>
      <c r="VBL143" s="181"/>
      <c r="VBM143" s="181"/>
      <c r="VBN143" s="181"/>
      <c r="VBO143" s="181"/>
      <c r="VBP143" s="181"/>
      <c r="VBQ143" s="181"/>
      <c r="VBR143" s="181"/>
      <c r="VBS143" s="181"/>
      <c r="VBT143" s="181"/>
      <c r="VBU143" s="181"/>
      <c r="VBV143" s="181"/>
      <c r="VBW143" s="181"/>
      <c r="VBX143" s="181"/>
      <c r="VBY143" s="181"/>
      <c r="VBZ143" s="181"/>
      <c r="VCA143" s="181"/>
      <c r="VCB143" s="181"/>
      <c r="VCC143" s="181"/>
      <c r="VCD143" s="181"/>
      <c r="VCE143" s="181"/>
      <c r="VCF143" s="181"/>
      <c r="VCG143" s="181"/>
      <c r="VCH143" s="181"/>
      <c r="VCI143" s="181"/>
      <c r="VCJ143" s="181"/>
      <c r="VCK143" s="181"/>
      <c r="VCL143" s="181"/>
      <c r="VCM143" s="181"/>
      <c r="VCN143" s="181"/>
      <c r="VCO143" s="181"/>
      <c r="VCP143" s="181"/>
      <c r="VCQ143" s="181"/>
      <c r="VCR143" s="181"/>
      <c r="VCS143" s="181"/>
      <c r="VCT143" s="181"/>
      <c r="VCU143" s="181"/>
      <c r="VCV143" s="181"/>
      <c r="VCW143" s="181"/>
      <c r="VCX143" s="181"/>
      <c r="VCY143" s="181"/>
      <c r="VCZ143" s="181"/>
      <c r="VDA143" s="181"/>
      <c r="VDB143" s="181"/>
      <c r="VDC143" s="181"/>
      <c r="VDD143" s="181"/>
      <c r="VDE143" s="181"/>
      <c r="VDF143" s="181"/>
      <c r="VDG143" s="181"/>
      <c r="VDH143" s="181"/>
      <c r="VDI143" s="181"/>
      <c r="VDJ143" s="181"/>
      <c r="VDK143" s="181"/>
      <c r="VDL143" s="181"/>
      <c r="VDM143" s="181"/>
      <c r="VDN143" s="181"/>
      <c r="VDO143" s="181"/>
      <c r="VDP143" s="181"/>
      <c r="VDQ143" s="181"/>
      <c r="VDR143" s="181"/>
      <c r="VDS143" s="181"/>
      <c r="VDT143" s="181"/>
      <c r="VDU143" s="181"/>
      <c r="VDV143" s="181"/>
      <c r="VDW143" s="181"/>
      <c r="VDX143" s="181"/>
      <c r="VDY143" s="181"/>
      <c r="VDZ143" s="181"/>
      <c r="VEA143" s="181"/>
      <c r="VEB143" s="181"/>
      <c r="VEC143" s="181"/>
      <c r="VED143" s="181"/>
      <c r="VEE143" s="181"/>
      <c r="VEF143" s="181"/>
      <c r="VEG143" s="181"/>
      <c r="VEH143" s="181"/>
      <c r="VEI143" s="181"/>
      <c r="VEJ143" s="181"/>
      <c r="VEK143" s="181"/>
      <c r="VEL143" s="181"/>
      <c r="VEM143" s="181"/>
      <c r="VEN143" s="181"/>
      <c r="VEO143" s="181"/>
      <c r="VEP143" s="181"/>
      <c r="VEQ143" s="181"/>
      <c r="VER143" s="181"/>
      <c r="VES143" s="181"/>
      <c r="VET143" s="181"/>
      <c r="VEU143" s="181"/>
      <c r="VEV143" s="181"/>
      <c r="VEW143" s="181"/>
      <c r="VEX143" s="181"/>
      <c r="VEY143" s="181"/>
      <c r="VEZ143" s="181"/>
      <c r="VFA143" s="181"/>
      <c r="VFB143" s="181"/>
      <c r="VFC143" s="181"/>
      <c r="VFD143" s="181"/>
      <c r="VFE143" s="181"/>
      <c r="VFF143" s="181"/>
      <c r="VFG143" s="181"/>
      <c r="VFH143" s="181"/>
      <c r="VFI143" s="181"/>
      <c r="VFJ143" s="181"/>
      <c r="VFK143" s="181"/>
      <c r="VFL143" s="181"/>
      <c r="VFM143" s="181"/>
      <c r="VFN143" s="181"/>
      <c r="VFO143" s="181"/>
      <c r="VFP143" s="181"/>
      <c r="VFQ143" s="181"/>
      <c r="VFR143" s="181"/>
      <c r="VFS143" s="181"/>
      <c r="VFT143" s="181"/>
      <c r="VFU143" s="181"/>
      <c r="VFV143" s="181"/>
      <c r="VFW143" s="181"/>
      <c r="VFX143" s="181"/>
      <c r="VFY143" s="181"/>
      <c r="VFZ143" s="181"/>
      <c r="VGA143" s="181"/>
      <c r="VGB143" s="181"/>
      <c r="VGC143" s="181"/>
      <c r="VGD143" s="181"/>
      <c r="VGE143" s="181"/>
      <c r="VGF143" s="181"/>
      <c r="VGG143" s="181"/>
      <c r="VGH143" s="181"/>
      <c r="VGI143" s="181"/>
      <c r="VGJ143" s="181"/>
      <c r="VGK143" s="181"/>
      <c r="VGL143" s="181"/>
      <c r="VGM143" s="181"/>
      <c r="VGN143" s="181"/>
      <c r="VGO143" s="181"/>
      <c r="VGP143" s="181"/>
      <c r="VGQ143" s="181"/>
      <c r="VGR143" s="181"/>
      <c r="VGS143" s="181"/>
      <c r="VGT143" s="181"/>
      <c r="VGU143" s="181"/>
      <c r="VGV143" s="181"/>
      <c r="VGW143" s="181"/>
      <c r="VGX143" s="181"/>
      <c r="VGY143" s="181"/>
      <c r="VGZ143" s="181"/>
      <c r="VHA143" s="181"/>
      <c r="VHB143" s="181"/>
      <c r="VHC143" s="181"/>
      <c r="VHD143" s="181"/>
      <c r="VHE143" s="181"/>
      <c r="VHF143" s="181"/>
      <c r="VHG143" s="181"/>
      <c r="VHH143" s="181"/>
      <c r="VHI143" s="181"/>
      <c r="VHJ143" s="181"/>
      <c r="VHK143" s="181"/>
      <c r="VHL143" s="181"/>
      <c r="VHM143" s="181"/>
      <c r="VHN143" s="181"/>
      <c r="VHO143" s="181"/>
      <c r="VHP143" s="181"/>
      <c r="VHQ143" s="181"/>
      <c r="VHR143" s="181"/>
      <c r="VHS143" s="181"/>
      <c r="VHT143" s="181"/>
      <c r="VHU143" s="181"/>
      <c r="VHV143" s="181"/>
      <c r="VHW143" s="181"/>
      <c r="VHX143" s="181"/>
      <c r="VHY143" s="181"/>
      <c r="VHZ143" s="181"/>
      <c r="VIA143" s="181"/>
      <c r="VIB143" s="181"/>
      <c r="VIC143" s="181"/>
      <c r="VID143" s="181"/>
      <c r="VIE143" s="181"/>
      <c r="VIF143" s="181"/>
      <c r="VIG143" s="181"/>
      <c r="VIH143" s="181"/>
      <c r="VII143" s="181"/>
      <c r="VIJ143" s="181"/>
      <c r="VIK143" s="181"/>
      <c r="VIL143" s="181"/>
      <c r="VIM143" s="181"/>
      <c r="VIN143" s="181"/>
      <c r="VIO143" s="181"/>
      <c r="VIP143" s="181"/>
      <c r="VIQ143" s="181"/>
      <c r="VIR143" s="181"/>
      <c r="VIS143" s="181"/>
      <c r="VIT143" s="181"/>
      <c r="VIU143" s="181"/>
      <c r="VIV143" s="181"/>
      <c r="VIW143" s="181"/>
      <c r="VIX143" s="181"/>
      <c r="VIY143" s="181"/>
      <c r="VIZ143" s="181"/>
      <c r="VJA143" s="181"/>
      <c r="VJB143" s="181"/>
      <c r="VJC143" s="181"/>
      <c r="VJD143" s="181"/>
      <c r="VJE143" s="181"/>
      <c r="VJF143" s="181"/>
      <c r="VJG143" s="181"/>
      <c r="VJH143" s="181"/>
      <c r="VJI143" s="181"/>
      <c r="VJJ143" s="181"/>
      <c r="VJK143" s="181"/>
      <c r="VJL143" s="181"/>
      <c r="VJM143" s="181"/>
      <c r="VJN143" s="181"/>
      <c r="VJO143" s="181"/>
      <c r="VJP143" s="181"/>
      <c r="VJQ143" s="181"/>
      <c r="VJR143" s="181"/>
      <c r="VJS143" s="181"/>
      <c r="VJT143" s="181"/>
      <c r="VJU143" s="181"/>
      <c r="VJV143" s="181"/>
      <c r="VJW143" s="181"/>
      <c r="VJX143" s="181"/>
      <c r="VJY143" s="181"/>
      <c r="VJZ143" s="181"/>
      <c r="VKA143" s="181"/>
      <c r="VKB143" s="181"/>
      <c r="VKC143" s="181"/>
      <c r="VKD143" s="181"/>
      <c r="VKE143" s="181"/>
      <c r="VKF143" s="181"/>
      <c r="VKG143" s="181"/>
      <c r="VKH143" s="181"/>
      <c r="VKI143" s="181"/>
      <c r="VKJ143" s="181"/>
      <c r="VKK143" s="181"/>
      <c r="VKL143" s="181"/>
      <c r="VKM143" s="181"/>
      <c r="VKN143" s="181"/>
      <c r="VKO143" s="181"/>
      <c r="VKP143" s="181"/>
      <c r="VKQ143" s="181"/>
      <c r="VKR143" s="181"/>
      <c r="VKS143" s="181"/>
      <c r="VKT143" s="181"/>
      <c r="VKU143" s="181"/>
      <c r="VKV143" s="181"/>
      <c r="VKW143" s="181"/>
      <c r="VKX143" s="181"/>
      <c r="VKY143" s="181"/>
      <c r="VKZ143" s="181"/>
      <c r="VLA143" s="181"/>
      <c r="VLB143" s="181"/>
      <c r="VLC143" s="181"/>
      <c r="VLD143" s="181"/>
      <c r="VLE143" s="181"/>
      <c r="VLF143" s="181"/>
      <c r="VLG143" s="181"/>
      <c r="VLH143" s="181"/>
      <c r="VLI143" s="181"/>
      <c r="VLJ143" s="181"/>
      <c r="VLK143" s="181"/>
      <c r="VLL143" s="181"/>
      <c r="VLM143" s="181"/>
      <c r="VLN143" s="181"/>
      <c r="VLO143" s="181"/>
      <c r="VLP143" s="181"/>
      <c r="VLQ143" s="181"/>
      <c r="VLR143" s="181"/>
      <c r="VLS143" s="181"/>
      <c r="VLT143" s="181"/>
      <c r="VLU143" s="181"/>
      <c r="VLV143" s="181"/>
      <c r="VLW143" s="181"/>
      <c r="VLX143" s="181"/>
      <c r="VLY143" s="181"/>
      <c r="VLZ143" s="181"/>
      <c r="VMA143" s="181"/>
      <c r="VMB143" s="181"/>
      <c r="VMC143" s="181"/>
      <c r="VMD143" s="181"/>
      <c r="VME143" s="181"/>
      <c r="VMF143" s="181"/>
      <c r="VMG143" s="181"/>
      <c r="VMH143" s="181"/>
      <c r="VMI143" s="181"/>
      <c r="VMJ143" s="181"/>
      <c r="VMK143" s="181"/>
      <c r="VML143" s="181"/>
      <c r="VMM143" s="181"/>
      <c r="VMN143" s="181"/>
      <c r="VMO143" s="181"/>
      <c r="VMP143" s="181"/>
      <c r="VMQ143" s="181"/>
      <c r="VMR143" s="181"/>
      <c r="VMS143" s="181"/>
      <c r="VMT143" s="181"/>
      <c r="VMU143" s="181"/>
      <c r="VMV143" s="181"/>
      <c r="VMW143" s="181"/>
      <c r="VMX143" s="181"/>
      <c r="VMY143" s="181"/>
      <c r="VMZ143" s="181"/>
      <c r="VNA143" s="181"/>
      <c r="VNB143" s="181"/>
      <c r="VNC143" s="181"/>
      <c r="VND143" s="181"/>
      <c r="VNE143" s="181"/>
      <c r="VNF143" s="181"/>
      <c r="VNG143" s="181"/>
      <c r="VNH143" s="181"/>
      <c r="VNI143" s="181"/>
      <c r="VNJ143" s="181"/>
      <c r="VNK143" s="181"/>
      <c r="VNL143" s="181"/>
      <c r="VNM143" s="181"/>
      <c r="VNN143" s="181"/>
      <c r="VNO143" s="181"/>
      <c r="VNP143" s="181"/>
      <c r="VNQ143" s="181"/>
      <c r="VNR143" s="181"/>
      <c r="VNS143" s="181"/>
      <c r="VNT143" s="181"/>
      <c r="VNU143" s="181"/>
      <c r="VNV143" s="181"/>
      <c r="VNW143" s="181"/>
      <c r="VNX143" s="181"/>
      <c r="VNY143" s="181"/>
      <c r="VNZ143" s="181"/>
      <c r="VOA143" s="181"/>
      <c r="VOB143" s="181"/>
      <c r="VOC143" s="181"/>
      <c r="VOD143" s="181"/>
      <c r="VOE143" s="181"/>
      <c r="VOF143" s="181"/>
      <c r="VOG143" s="181"/>
      <c r="VOH143" s="181"/>
      <c r="VOI143" s="181"/>
      <c r="VOJ143" s="181"/>
      <c r="VOK143" s="181"/>
      <c r="VOL143" s="181"/>
      <c r="VOM143" s="181"/>
      <c r="VON143" s="181"/>
      <c r="VOO143" s="181"/>
      <c r="VOP143" s="181"/>
      <c r="VOQ143" s="181"/>
      <c r="VOR143" s="181"/>
      <c r="VOS143" s="181"/>
      <c r="VOT143" s="181"/>
      <c r="VOU143" s="181"/>
      <c r="VOV143" s="181"/>
      <c r="VOW143" s="181"/>
      <c r="VOX143" s="181"/>
      <c r="VOY143" s="181"/>
      <c r="VOZ143" s="181"/>
      <c r="VPA143" s="181"/>
      <c r="VPB143" s="181"/>
      <c r="VPC143" s="181"/>
      <c r="VPD143" s="181"/>
      <c r="VPE143" s="181"/>
      <c r="VPF143" s="181"/>
      <c r="VPG143" s="181"/>
      <c r="VPH143" s="181"/>
      <c r="VPI143" s="181"/>
      <c r="VPJ143" s="181"/>
      <c r="VPK143" s="181"/>
      <c r="VPL143" s="181"/>
      <c r="VPM143" s="181"/>
      <c r="VPN143" s="181"/>
      <c r="VPO143" s="181"/>
      <c r="VPP143" s="181"/>
      <c r="VPQ143" s="181"/>
      <c r="VPR143" s="181"/>
      <c r="VPS143" s="181"/>
      <c r="VPT143" s="181"/>
      <c r="VPU143" s="181"/>
      <c r="VPV143" s="181"/>
      <c r="VPW143" s="181"/>
      <c r="VPX143" s="181"/>
      <c r="VPY143" s="181"/>
      <c r="VPZ143" s="181"/>
      <c r="VQA143" s="181"/>
      <c r="VQB143" s="181"/>
      <c r="VQC143" s="181"/>
      <c r="VQD143" s="181"/>
      <c r="VQE143" s="181"/>
      <c r="VQF143" s="181"/>
      <c r="VQG143" s="181"/>
      <c r="VQH143" s="181"/>
      <c r="VQI143" s="181"/>
      <c r="VQJ143" s="181"/>
      <c r="VQK143" s="181"/>
      <c r="VQL143" s="181"/>
      <c r="VQM143" s="181"/>
      <c r="VQN143" s="181"/>
      <c r="VQO143" s="181"/>
      <c r="VQP143" s="181"/>
      <c r="VQQ143" s="181"/>
      <c r="VQR143" s="181"/>
      <c r="VQS143" s="181"/>
      <c r="VQT143" s="181"/>
      <c r="VQU143" s="181"/>
      <c r="VQV143" s="181"/>
      <c r="VQW143" s="181"/>
      <c r="VQX143" s="181"/>
      <c r="VQY143" s="181"/>
      <c r="VQZ143" s="181"/>
      <c r="VRA143" s="181"/>
      <c r="VRB143" s="181"/>
      <c r="VRC143" s="181"/>
      <c r="VRD143" s="181"/>
      <c r="VRE143" s="181"/>
      <c r="VRF143" s="181"/>
      <c r="VRG143" s="181"/>
      <c r="VRH143" s="181"/>
      <c r="VRI143" s="181"/>
      <c r="VRJ143" s="181"/>
      <c r="VRK143" s="181"/>
      <c r="VRL143" s="181"/>
      <c r="VRM143" s="181"/>
      <c r="VRN143" s="181"/>
      <c r="VRO143" s="181"/>
      <c r="VRP143" s="181"/>
      <c r="VRQ143" s="181"/>
      <c r="VRR143" s="181"/>
      <c r="VRS143" s="181"/>
      <c r="VRT143" s="181"/>
      <c r="VRU143" s="181"/>
      <c r="VRV143" s="181"/>
      <c r="VRW143" s="181"/>
      <c r="VRX143" s="181"/>
      <c r="VRY143" s="181"/>
      <c r="VRZ143" s="181"/>
      <c r="VSA143" s="181"/>
      <c r="VSB143" s="181"/>
      <c r="VSC143" s="181"/>
      <c r="VSD143" s="181"/>
      <c r="VSE143" s="181"/>
      <c r="VSF143" s="181"/>
      <c r="VSG143" s="181"/>
      <c r="VSH143" s="181"/>
      <c r="VSI143" s="181"/>
      <c r="VSJ143" s="181"/>
      <c r="VSK143" s="181"/>
      <c r="VSL143" s="181"/>
      <c r="VSM143" s="181"/>
      <c r="VSN143" s="181"/>
      <c r="VSO143" s="181"/>
      <c r="VSP143" s="181"/>
      <c r="VSQ143" s="181"/>
      <c r="VSR143" s="181"/>
      <c r="VSS143" s="181"/>
      <c r="VST143" s="181"/>
      <c r="VSU143" s="181"/>
      <c r="VSV143" s="181"/>
      <c r="VSW143" s="181"/>
      <c r="VSX143" s="181"/>
      <c r="VSY143" s="181"/>
      <c r="VSZ143" s="181"/>
      <c r="VTA143" s="181"/>
      <c r="VTB143" s="181"/>
      <c r="VTC143" s="181"/>
      <c r="VTD143" s="181"/>
      <c r="VTE143" s="181"/>
      <c r="VTF143" s="181"/>
      <c r="VTG143" s="181"/>
      <c r="VTH143" s="181"/>
      <c r="VTI143" s="181"/>
      <c r="VTJ143" s="181"/>
      <c r="VTK143" s="181"/>
      <c r="VTL143" s="181"/>
      <c r="VTM143" s="181"/>
      <c r="VTN143" s="181"/>
      <c r="VTO143" s="181"/>
      <c r="VTP143" s="181"/>
      <c r="VTQ143" s="181"/>
      <c r="VTR143" s="181"/>
      <c r="VTS143" s="181"/>
      <c r="VTT143" s="181"/>
      <c r="VTU143" s="181"/>
      <c r="VTV143" s="181"/>
      <c r="VTW143" s="181"/>
      <c r="VTX143" s="181"/>
      <c r="VTY143" s="181"/>
      <c r="VTZ143" s="181"/>
      <c r="VUA143" s="181"/>
      <c r="VUB143" s="181"/>
      <c r="VUC143" s="181"/>
      <c r="VUD143" s="181"/>
      <c r="VUE143" s="181"/>
      <c r="VUF143" s="181"/>
      <c r="VUG143" s="181"/>
      <c r="VUH143" s="181"/>
      <c r="VUI143" s="181"/>
      <c r="VUJ143" s="181"/>
      <c r="VUK143" s="181"/>
      <c r="VUL143" s="181"/>
      <c r="VUM143" s="181"/>
      <c r="VUN143" s="181"/>
      <c r="VUO143" s="181"/>
      <c r="VUP143" s="181"/>
      <c r="VUQ143" s="181"/>
      <c r="VUR143" s="181"/>
      <c r="VUS143" s="181"/>
      <c r="VUT143" s="181"/>
      <c r="VUU143" s="181"/>
      <c r="VUV143" s="181"/>
      <c r="VUW143" s="181"/>
      <c r="VUX143" s="181"/>
      <c r="VUY143" s="181"/>
      <c r="VUZ143" s="181"/>
      <c r="VVA143" s="181"/>
      <c r="VVB143" s="181"/>
      <c r="VVC143" s="181"/>
      <c r="VVD143" s="181"/>
      <c r="VVE143" s="181"/>
      <c r="VVF143" s="181"/>
      <c r="VVG143" s="181"/>
      <c r="VVH143" s="181"/>
      <c r="VVI143" s="181"/>
      <c r="VVJ143" s="181"/>
      <c r="VVK143" s="181"/>
      <c r="VVL143" s="181"/>
      <c r="VVM143" s="181"/>
      <c r="VVN143" s="181"/>
      <c r="VVO143" s="181"/>
      <c r="VVP143" s="181"/>
      <c r="VVQ143" s="181"/>
      <c r="VVR143" s="181"/>
      <c r="VVS143" s="181"/>
      <c r="VVT143" s="181"/>
      <c r="VVU143" s="181"/>
      <c r="VVV143" s="181"/>
      <c r="VVW143" s="181"/>
      <c r="VVX143" s="181"/>
      <c r="VVY143" s="181"/>
      <c r="VVZ143" s="181"/>
      <c r="VWA143" s="181"/>
      <c r="VWB143" s="181"/>
      <c r="VWC143" s="181"/>
      <c r="VWD143" s="181"/>
      <c r="VWE143" s="181"/>
      <c r="VWF143" s="181"/>
      <c r="VWG143" s="181"/>
      <c r="VWH143" s="181"/>
      <c r="VWI143" s="181"/>
      <c r="VWJ143" s="181"/>
      <c r="VWK143" s="181"/>
      <c r="VWL143" s="181"/>
      <c r="VWM143" s="181"/>
      <c r="VWN143" s="181"/>
      <c r="VWO143" s="181"/>
      <c r="VWP143" s="181"/>
      <c r="VWQ143" s="181"/>
      <c r="VWR143" s="181"/>
      <c r="VWS143" s="181"/>
      <c r="VWT143" s="181"/>
      <c r="VWU143" s="181"/>
      <c r="VWV143" s="181"/>
      <c r="VWW143" s="181"/>
      <c r="VWX143" s="181"/>
      <c r="VWY143" s="181"/>
      <c r="VWZ143" s="181"/>
      <c r="VXA143" s="181"/>
      <c r="VXB143" s="181"/>
      <c r="VXC143" s="181"/>
      <c r="VXD143" s="181"/>
      <c r="VXE143" s="181"/>
      <c r="VXF143" s="181"/>
      <c r="VXG143" s="181"/>
      <c r="VXH143" s="181"/>
      <c r="VXI143" s="181"/>
      <c r="VXJ143" s="181"/>
      <c r="VXK143" s="181"/>
      <c r="VXL143" s="181"/>
      <c r="VXM143" s="181"/>
      <c r="VXN143" s="181"/>
      <c r="VXO143" s="181"/>
      <c r="VXP143" s="181"/>
      <c r="VXQ143" s="181"/>
      <c r="VXR143" s="181"/>
      <c r="VXS143" s="181"/>
      <c r="VXT143" s="181"/>
      <c r="VXU143" s="181"/>
      <c r="VXV143" s="181"/>
      <c r="VXW143" s="181"/>
      <c r="VXX143" s="181"/>
      <c r="VXY143" s="181"/>
      <c r="VXZ143" s="181"/>
      <c r="VYA143" s="181"/>
      <c r="VYB143" s="181"/>
      <c r="VYC143" s="181"/>
      <c r="VYD143" s="181"/>
      <c r="VYE143" s="181"/>
      <c r="VYF143" s="181"/>
      <c r="VYG143" s="181"/>
      <c r="VYH143" s="181"/>
      <c r="VYI143" s="181"/>
      <c r="VYJ143" s="181"/>
      <c r="VYK143" s="181"/>
      <c r="VYL143" s="181"/>
      <c r="VYM143" s="181"/>
      <c r="VYN143" s="181"/>
      <c r="VYO143" s="181"/>
      <c r="VYP143" s="181"/>
      <c r="VYQ143" s="181"/>
      <c r="VYR143" s="181"/>
      <c r="VYS143" s="181"/>
      <c r="VYT143" s="181"/>
      <c r="VYU143" s="181"/>
      <c r="VYV143" s="181"/>
      <c r="VYW143" s="181"/>
      <c r="VYX143" s="181"/>
      <c r="VYY143" s="181"/>
      <c r="VYZ143" s="181"/>
      <c r="VZA143" s="181"/>
      <c r="VZB143" s="181"/>
      <c r="VZC143" s="181"/>
      <c r="VZD143" s="181"/>
      <c r="VZE143" s="181"/>
      <c r="VZF143" s="181"/>
      <c r="VZG143" s="181"/>
      <c r="VZH143" s="181"/>
      <c r="VZI143" s="181"/>
      <c r="VZJ143" s="181"/>
      <c r="VZK143" s="181"/>
      <c r="VZL143" s="181"/>
      <c r="VZM143" s="181"/>
      <c r="VZN143" s="181"/>
      <c r="VZO143" s="181"/>
      <c r="VZP143" s="181"/>
      <c r="VZQ143" s="181"/>
      <c r="VZR143" s="181"/>
      <c r="VZS143" s="181"/>
      <c r="VZT143" s="181"/>
      <c r="VZU143" s="181"/>
      <c r="VZV143" s="181"/>
      <c r="VZW143" s="181"/>
      <c r="VZX143" s="181"/>
      <c r="VZY143" s="181"/>
      <c r="VZZ143" s="181"/>
      <c r="WAA143" s="181"/>
      <c r="WAB143" s="181"/>
      <c r="WAC143" s="181"/>
      <c r="WAD143" s="181"/>
      <c r="WAE143" s="181"/>
      <c r="WAF143" s="181"/>
      <c r="WAG143" s="181"/>
      <c r="WAH143" s="181"/>
      <c r="WAI143" s="181"/>
      <c r="WAJ143" s="181"/>
      <c r="WAK143" s="181"/>
      <c r="WAL143" s="181"/>
      <c r="WAM143" s="181"/>
      <c r="WAN143" s="181"/>
      <c r="WAO143" s="181"/>
      <c r="WAP143" s="181"/>
      <c r="WAQ143" s="181"/>
      <c r="WAR143" s="181"/>
      <c r="WAS143" s="181"/>
      <c r="WAT143" s="181"/>
      <c r="WAU143" s="181"/>
      <c r="WAV143" s="181"/>
      <c r="WAW143" s="181"/>
      <c r="WAX143" s="181"/>
      <c r="WAY143" s="181"/>
      <c r="WAZ143" s="181"/>
      <c r="WBA143" s="181"/>
      <c r="WBB143" s="181"/>
      <c r="WBC143" s="181"/>
      <c r="WBD143" s="181"/>
      <c r="WBE143" s="181"/>
      <c r="WBF143" s="181"/>
      <c r="WBG143" s="181"/>
      <c r="WBH143" s="181"/>
      <c r="WBI143" s="181"/>
      <c r="WBJ143" s="181"/>
      <c r="WBK143" s="181"/>
      <c r="WBL143" s="181"/>
      <c r="WBM143" s="181"/>
      <c r="WBN143" s="181"/>
      <c r="WBO143" s="181"/>
      <c r="WBP143" s="181"/>
      <c r="WBQ143" s="181"/>
      <c r="WBR143" s="181"/>
      <c r="WBS143" s="181"/>
      <c r="WBT143" s="181"/>
      <c r="WBU143" s="181"/>
      <c r="WBV143" s="181"/>
      <c r="WBW143" s="181"/>
      <c r="WBX143" s="181"/>
      <c r="WBY143" s="181"/>
      <c r="WBZ143" s="181"/>
      <c r="WCA143" s="181"/>
      <c r="WCB143" s="181"/>
      <c r="WCC143" s="181"/>
      <c r="WCD143" s="181"/>
      <c r="WCE143" s="181"/>
      <c r="WCF143" s="181"/>
      <c r="WCG143" s="181"/>
      <c r="WCH143" s="181"/>
      <c r="WCI143" s="181"/>
      <c r="WCJ143" s="181"/>
      <c r="WCK143" s="181"/>
      <c r="WCL143" s="181"/>
      <c r="WCM143" s="181"/>
      <c r="WCN143" s="181"/>
      <c r="WCO143" s="181"/>
      <c r="WCP143" s="181"/>
      <c r="WCQ143" s="181"/>
      <c r="WCR143" s="181"/>
      <c r="WCS143" s="181"/>
      <c r="WCT143" s="181"/>
      <c r="WCU143" s="181"/>
      <c r="WCV143" s="181"/>
      <c r="WCW143" s="181"/>
      <c r="WCX143" s="181"/>
      <c r="WCY143" s="181"/>
      <c r="WCZ143" s="181"/>
      <c r="WDA143" s="181"/>
      <c r="WDB143" s="181"/>
      <c r="WDC143" s="181"/>
      <c r="WDD143" s="181"/>
      <c r="WDE143" s="181"/>
      <c r="WDF143" s="181"/>
      <c r="WDG143" s="181"/>
      <c r="WDH143" s="181"/>
      <c r="WDI143" s="181"/>
      <c r="WDJ143" s="181"/>
      <c r="WDK143" s="181"/>
      <c r="WDL143" s="181"/>
      <c r="WDM143" s="181"/>
      <c r="WDN143" s="181"/>
      <c r="WDO143" s="181"/>
      <c r="WDP143" s="181"/>
      <c r="WDQ143" s="181"/>
      <c r="WDR143" s="181"/>
      <c r="WDS143" s="181"/>
      <c r="WDT143" s="181"/>
      <c r="WDU143" s="181"/>
      <c r="WDV143" s="181"/>
      <c r="WDW143" s="181"/>
      <c r="WDX143" s="181"/>
      <c r="WDY143" s="181"/>
      <c r="WDZ143" s="181"/>
      <c r="WEA143" s="181"/>
      <c r="WEB143" s="181"/>
      <c r="WEC143" s="181"/>
      <c r="WED143" s="181"/>
      <c r="WEE143" s="181"/>
      <c r="WEF143" s="181"/>
      <c r="WEG143" s="181"/>
      <c r="WEH143" s="181"/>
      <c r="WEI143" s="181"/>
      <c r="WEJ143" s="181"/>
      <c r="WEK143" s="181"/>
      <c r="WEL143" s="181"/>
      <c r="WEM143" s="181"/>
      <c r="WEN143" s="181"/>
      <c r="WEO143" s="181"/>
      <c r="WEP143" s="181"/>
      <c r="WEQ143" s="181"/>
      <c r="WER143" s="181"/>
      <c r="WES143" s="181"/>
      <c r="WET143" s="181"/>
      <c r="WEU143" s="181"/>
      <c r="WEV143" s="181"/>
      <c r="WEW143" s="181"/>
      <c r="WEX143" s="181"/>
      <c r="WEY143" s="181"/>
      <c r="WEZ143" s="181"/>
      <c r="WFA143" s="181"/>
      <c r="WFB143" s="181"/>
      <c r="WFC143" s="181"/>
      <c r="WFD143" s="181"/>
      <c r="WFE143" s="181"/>
      <c r="WFF143" s="181"/>
      <c r="WFG143" s="181"/>
      <c r="WFH143" s="181"/>
      <c r="WFI143" s="181"/>
      <c r="WFJ143" s="181"/>
      <c r="WFK143" s="181"/>
      <c r="WFL143" s="181"/>
      <c r="WFM143" s="181"/>
      <c r="WFN143" s="181"/>
      <c r="WFO143" s="181"/>
      <c r="WFP143" s="181"/>
      <c r="WFQ143" s="181"/>
      <c r="WFR143" s="181"/>
      <c r="WFS143" s="181"/>
      <c r="WFT143" s="181"/>
      <c r="WFU143" s="181"/>
      <c r="WFV143" s="181"/>
      <c r="WFW143" s="181"/>
      <c r="WFX143" s="181"/>
      <c r="WFY143" s="181"/>
      <c r="WFZ143" s="181"/>
      <c r="WGA143" s="181"/>
      <c r="WGB143" s="181"/>
      <c r="WGC143" s="181"/>
      <c r="WGD143" s="181"/>
      <c r="WGE143" s="181"/>
      <c r="WGF143" s="181"/>
      <c r="WGG143" s="181"/>
      <c r="WGH143" s="181"/>
      <c r="WGI143" s="181"/>
      <c r="WGJ143" s="181"/>
      <c r="WGK143" s="181"/>
      <c r="WGL143" s="181"/>
      <c r="WGM143" s="181"/>
      <c r="WGN143" s="181"/>
      <c r="WGO143" s="181"/>
      <c r="WGP143" s="181"/>
      <c r="WGQ143" s="181"/>
      <c r="WGR143" s="181"/>
      <c r="WGS143" s="181"/>
      <c r="WGT143" s="181"/>
      <c r="WGU143" s="181"/>
      <c r="WGV143" s="181"/>
      <c r="WGW143" s="181"/>
      <c r="WGX143" s="181"/>
      <c r="WGY143" s="181"/>
      <c r="WGZ143" s="181"/>
      <c r="WHA143" s="181"/>
      <c r="WHB143" s="181"/>
      <c r="WHC143" s="181"/>
      <c r="WHD143" s="181"/>
      <c r="WHE143" s="181"/>
      <c r="WHF143" s="181"/>
      <c r="WHG143" s="181"/>
      <c r="WHH143" s="181"/>
      <c r="WHI143" s="181"/>
      <c r="WHJ143" s="181"/>
      <c r="WHK143" s="181"/>
      <c r="WHL143" s="181"/>
      <c r="WHM143" s="181"/>
      <c r="WHN143" s="181"/>
      <c r="WHO143" s="181"/>
      <c r="WHP143" s="181"/>
      <c r="WHQ143" s="181"/>
      <c r="WHR143" s="181"/>
      <c r="WHS143" s="181"/>
      <c r="WHT143" s="181"/>
      <c r="WHU143" s="181"/>
      <c r="WHV143" s="181"/>
      <c r="WHW143" s="181"/>
      <c r="WHX143" s="181"/>
      <c r="WHY143" s="181"/>
      <c r="WHZ143" s="181"/>
      <c r="WIA143" s="181"/>
      <c r="WIB143" s="181"/>
      <c r="WIC143" s="181"/>
      <c r="WID143" s="181"/>
      <c r="WIE143" s="181"/>
      <c r="WIF143" s="181"/>
      <c r="WIG143" s="181"/>
      <c r="WIH143" s="181"/>
      <c r="WII143" s="181"/>
      <c r="WIJ143" s="181"/>
      <c r="WIK143" s="181"/>
      <c r="WIL143" s="181"/>
      <c r="WIM143" s="181"/>
      <c r="WIN143" s="181"/>
      <c r="WIO143" s="181"/>
      <c r="WIP143" s="181"/>
      <c r="WIQ143" s="181"/>
      <c r="WIR143" s="181"/>
      <c r="WIS143" s="181"/>
      <c r="WIT143" s="181"/>
      <c r="WIU143" s="181"/>
      <c r="WIV143" s="181"/>
      <c r="WIW143" s="181"/>
      <c r="WIX143" s="181"/>
      <c r="WIY143" s="181"/>
      <c r="WIZ143" s="181"/>
      <c r="WJA143" s="181"/>
      <c r="WJB143" s="181"/>
      <c r="WJC143" s="181"/>
      <c r="WJD143" s="181"/>
      <c r="WJE143" s="181"/>
      <c r="WJF143" s="181"/>
      <c r="WJG143" s="181"/>
      <c r="WJH143" s="181"/>
      <c r="WJI143" s="181"/>
      <c r="WJJ143" s="181"/>
      <c r="WJK143" s="181"/>
      <c r="WJL143" s="181"/>
      <c r="WJM143" s="181"/>
      <c r="WJN143" s="181"/>
      <c r="WJO143" s="181"/>
      <c r="WJP143" s="181"/>
      <c r="WJQ143" s="181"/>
      <c r="WJR143" s="181"/>
      <c r="WJS143" s="181"/>
      <c r="WJT143" s="181"/>
      <c r="WJU143" s="181"/>
      <c r="WJV143" s="181"/>
      <c r="WJW143" s="181"/>
      <c r="WJX143" s="181"/>
      <c r="WJY143" s="181"/>
      <c r="WJZ143" s="181"/>
      <c r="WKA143" s="181"/>
      <c r="WKB143" s="181"/>
      <c r="WKC143" s="181"/>
      <c r="WKD143" s="181"/>
      <c r="WKE143" s="181"/>
      <c r="WKF143" s="181"/>
      <c r="WKG143" s="181"/>
      <c r="WKH143" s="181"/>
      <c r="WKI143" s="181"/>
      <c r="WKJ143" s="181"/>
      <c r="WKK143" s="181"/>
      <c r="WKL143" s="181"/>
      <c r="WKM143" s="181"/>
      <c r="WKN143" s="181"/>
      <c r="WKO143" s="181"/>
      <c r="WKP143" s="181"/>
      <c r="WKQ143" s="181"/>
      <c r="WKR143" s="181"/>
      <c r="WKS143" s="181"/>
      <c r="WKT143" s="181"/>
      <c r="WKU143" s="181"/>
      <c r="WKV143" s="181"/>
      <c r="WKW143" s="181"/>
      <c r="WKX143" s="181"/>
      <c r="WKY143" s="181"/>
      <c r="WKZ143" s="181"/>
      <c r="WLA143" s="181"/>
      <c r="WLB143" s="181"/>
      <c r="WLC143" s="181"/>
      <c r="WLD143" s="181"/>
      <c r="WLE143" s="181"/>
      <c r="WLF143" s="181"/>
      <c r="WLG143" s="181"/>
      <c r="WLH143" s="181"/>
      <c r="WLI143" s="181"/>
      <c r="WLJ143" s="181"/>
      <c r="WLK143" s="181"/>
      <c r="WLL143" s="181"/>
      <c r="WLM143" s="181"/>
      <c r="WLN143" s="181"/>
      <c r="WLO143" s="181"/>
      <c r="WLP143" s="181"/>
      <c r="WLQ143" s="181"/>
      <c r="WLR143" s="181"/>
      <c r="WLS143" s="181"/>
      <c r="WLT143" s="181"/>
      <c r="WLU143" s="181"/>
      <c r="WLV143" s="181"/>
      <c r="WLW143" s="181"/>
      <c r="WLX143" s="181"/>
      <c r="WLY143" s="181"/>
      <c r="WLZ143" s="181"/>
      <c r="WMA143" s="181"/>
      <c r="WMB143" s="181"/>
      <c r="WMC143" s="181"/>
      <c r="WMD143" s="181"/>
      <c r="WME143" s="181"/>
      <c r="WMF143" s="181"/>
      <c r="WMG143" s="181"/>
      <c r="WMH143" s="181"/>
      <c r="WMI143" s="181"/>
      <c r="WMJ143" s="181"/>
      <c r="WMK143" s="181"/>
      <c r="WML143" s="181"/>
      <c r="WMM143" s="181"/>
      <c r="WMN143" s="181"/>
      <c r="WMO143" s="181"/>
      <c r="WMP143" s="181"/>
      <c r="WMQ143" s="181"/>
      <c r="WMR143" s="181"/>
      <c r="WMS143" s="181"/>
      <c r="WMT143" s="181"/>
      <c r="WMU143" s="181"/>
      <c r="WMV143" s="181"/>
      <c r="WMW143" s="181"/>
      <c r="WMX143" s="181"/>
      <c r="WMY143" s="181"/>
      <c r="WMZ143" s="181"/>
      <c r="WNA143" s="181"/>
      <c r="WNB143" s="181"/>
      <c r="WNC143" s="181"/>
      <c r="WND143" s="181"/>
      <c r="WNE143" s="181"/>
      <c r="WNF143" s="181"/>
      <c r="WNG143" s="181"/>
      <c r="WNH143" s="181"/>
      <c r="WNI143" s="181"/>
      <c r="WNJ143" s="181"/>
      <c r="WNK143" s="181"/>
      <c r="WNL143" s="181"/>
      <c r="WNM143" s="181"/>
      <c r="WNN143" s="181"/>
      <c r="WNO143" s="181"/>
      <c r="WNP143" s="181"/>
      <c r="WNQ143" s="181"/>
      <c r="WNR143" s="181"/>
      <c r="WNS143" s="181"/>
      <c r="WNT143" s="181"/>
      <c r="WNU143" s="181"/>
      <c r="WNV143" s="181"/>
      <c r="WNW143" s="181"/>
      <c r="WNX143" s="181"/>
      <c r="WNY143" s="181"/>
      <c r="WNZ143" s="181"/>
      <c r="WOA143" s="181"/>
      <c r="WOB143" s="181"/>
      <c r="WOC143" s="181"/>
      <c r="WOD143" s="181"/>
      <c r="WOE143" s="181"/>
      <c r="WOF143" s="181"/>
      <c r="WOG143" s="181"/>
      <c r="WOH143" s="181"/>
      <c r="WOI143" s="181"/>
      <c r="WOJ143" s="181"/>
      <c r="WOK143" s="181"/>
      <c r="WOL143" s="181"/>
      <c r="WOM143" s="181"/>
      <c r="WON143" s="181"/>
      <c r="WOO143" s="181"/>
      <c r="WOP143" s="181"/>
      <c r="WOQ143" s="181"/>
      <c r="WOR143" s="181"/>
      <c r="WOS143" s="181"/>
      <c r="WOT143" s="181"/>
      <c r="WOU143" s="181"/>
      <c r="WOV143" s="181"/>
      <c r="WOW143" s="181"/>
      <c r="WOX143" s="181"/>
      <c r="WOY143" s="181"/>
      <c r="WOZ143" s="181"/>
      <c r="WPA143" s="181"/>
      <c r="WPB143" s="181"/>
      <c r="WPC143" s="181"/>
      <c r="WPD143" s="181"/>
      <c r="WPE143" s="181"/>
      <c r="WPF143" s="181"/>
      <c r="WPG143" s="181"/>
      <c r="WPH143" s="181"/>
      <c r="WPI143" s="181"/>
      <c r="WPJ143" s="181"/>
      <c r="WPK143" s="181"/>
      <c r="WPL143" s="181"/>
      <c r="WPM143" s="181"/>
      <c r="WPN143" s="181"/>
      <c r="WPO143" s="181"/>
      <c r="WPP143" s="181"/>
      <c r="WPQ143" s="181"/>
      <c r="WPR143" s="181"/>
      <c r="WPS143" s="181"/>
      <c r="WPT143" s="181"/>
      <c r="WPU143" s="181"/>
      <c r="WPV143" s="181"/>
      <c r="WPW143" s="181"/>
      <c r="WPX143" s="181"/>
      <c r="WPY143" s="181"/>
      <c r="WPZ143" s="181"/>
      <c r="WQA143" s="181"/>
      <c r="WQB143" s="181"/>
      <c r="WQC143" s="181"/>
      <c r="WQD143" s="181"/>
      <c r="WQE143" s="181"/>
      <c r="WQF143" s="181"/>
      <c r="WQG143" s="181"/>
      <c r="WQH143" s="181"/>
      <c r="WQI143" s="181"/>
      <c r="WQJ143" s="181"/>
      <c r="WQK143" s="181"/>
      <c r="WQL143" s="181"/>
      <c r="WQM143" s="181"/>
      <c r="WQN143" s="181"/>
      <c r="WQO143" s="181"/>
      <c r="WQP143" s="181"/>
      <c r="WQQ143" s="181"/>
      <c r="WQR143" s="181"/>
      <c r="WQS143" s="181"/>
      <c r="WQT143" s="181"/>
      <c r="WQU143" s="181"/>
      <c r="WQV143" s="181"/>
      <c r="WQW143" s="181"/>
      <c r="WQX143" s="181"/>
      <c r="WQY143" s="181"/>
      <c r="WQZ143" s="181"/>
      <c r="WRA143" s="181"/>
      <c r="WRB143" s="181"/>
      <c r="WRC143" s="181"/>
      <c r="WRD143" s="181"/>
      <c r="WRE143" s="181"/>
      <c r="WRF143" s="181"/>
      <c r="WRG143" s="181"/>
      <c r="WRH143" s="181"/>
      <c r="WRI143" s="181"/>
      <c r="WRJ143" s="181"/>
      <c r="WRK143" s="181"/>
      <c r="WRL143" s="181"/>
      <c r="WRM143" s="181"/>
      <c r="WRN143" s="181"/>
      <c r="WRO143" s="181"/>
      <c r="WRP143" s="181"/>
      <c r="WRQ143" s="181"/>
      <c r="WRR143" s="181"/>
      <c r="WRS143" s="181"/>
      <c r="WRT143" s="181"/>
      <c r="WRU143" s="181"/>
      <c r="WRV143" s="181"/>
      <c r="WRW143" s="181"/>
      <c r="WRX143" s="181"/>
      <c r="WRY143" s="181"/>
      <c r="WRZ143" s="181"/>
      <c r="WSA143" s="181"/>
      <c r="WSB143" s="181"/>
      <c r="WSC143" s="181"/>
      <c r="WSD143" s="181"/>
      <c r="WSE143" s="181"/>
      <c r="WSF143" s="181"/>
      <c r="WSG143" s="181"/>
      <c r="WSH143" s="181"/>
      <c r="WSI143" s="181"/>
      <c r="WSJ143" s="181"/>
      <c r="WSK143" s="181"/>
      <c r="WSL143" s="181"/>
      <c r="WSM143" s="181"/>
      <c r="WSN143" s="181"/>
      <c r="WSO143" s="181"/>
      <c r="WSP143" s="181"/>
      <c r="WSQ143" s="181"/>
      <c r="WSR143" s="181"/>
      <c r="WSS143" s="181"/>
      <c r="WST143" s="181"/>
      <c r="WSU143" s="181"/>
      <c r="WSV143" s="181"/>
      <c r="WSW143" s="181"/>
      <c r="WSX143" s="181"/>
      <c r="WSY143" s="181"/>
      <c r="WSZ143" s="181"/>
      <c r="WTA143" s="181"/>
      <c r="WTB143" s="181"/>
      <c r="WTC143" s="181"/>
      <c r="WTD143" s="181"/>
      <c r="WTE143" s="181"/>
      <c r="WTF143" s="181"/>
      <c r="WTG143" s="181"/>
      <c r="WTH143" s="181"/>
      <c r="WTI143" s="181"/>
      <c r="WTJ143" s="181"/>
      <c r="WTK143" s="181"/>
      <c r="WTL143" s="181"/>
      <c r="WTM143" s="181"/>
      <c r="WTN143" s="181"/>
      <c r="WTO143" s="181"/>
      <c r="WTP143" s="181"/>
      <c r="WTQ143" s="181"/>
      <c r="WTR143" s="181"/>
      <c r="WTS143" s="181"/>
      <c r="WTT143" s="181"/>
      <c r="WTU143" s="181"/>
      <c r="WTV143" s="181"/>
      <c r="WTW143" s="181"/>
      <c r="WTX143" s="181"/>
      <c r="WTY143" s="181"/>
      <c r="WTZ143" s="181"/>
      <c r="WUA143" s="181"/>
      <c r="WUB143" s="181"/>
      <c r="WUC143" s="181"/>
      <c r="WUD143" s="181"/>
      <c r="WUE143" s="181"/>
      <c r="WUF143" s="181"/>
      <c r="WUG143" s="181"/>
      <c r="WUH143" s="181"/>
      <c r="WUI143" s="181"/>
      <c r="WUJ143" s="181"/>
      <c r="WUK143" s="181"/>
      <c r="WUL143" s="181"/>
      <c r="WUM143" s="181"/>
      <c r="WUN143" s="181"/>
      <c r="WUO143" s="181"/>
      <c r="WUP143" s="181"/>
      <c r="WUQ143" s="181"/>
      <c r="WUR143" s="181"/>
      <c r="WUS143" s="181"/>
      <c r="WUT143" s="181"/>
      <c r="WUU143" s="181"/>
      <c r="WUV143" s="181"/>
      <c r="WUW143" s="181"/>
      <c r="WUX143" s="181"/>
      <c r="WUY143" s="181"/>
      <c r="WUZ143" s="181"/>
      <c r="WVA143" s="181"/>
      <c r="WVB143" s="181"/>
      <c r="WVC143" s="181"/>
      <c r="WVD143" s="181"/>
      <c r="WVE143" s="181"/>
      <c r="WVF143" s="181"/>
      <c r="WVG143" s="181"/>
      <c r="WVH143" s="181"/>
      <c r="WVI143" s="181"/>
      <c r="WVJ143" s="181"/>
      <c r="WVK143" s="181"/>
      <c r="WVL143" s="181"/>
      <c r="WVM143" s="181"/>
      <c r="WVN143" s="181"/>
      <c r="WVO143" s="181"/>
      <c r="WVP143" s="181"/>
      <c r="WVQ143" s="181"/>
      <c r="WVR143" s="181"/>
      <c r="WVS143" s="181"/>
      <c r="WVT143" s="181"/>
      <c r="WVU143" s="181"/>
      <c r="WVV143" s="181"/>
      <c r="WVW143" s="181"/>
      <c r="WVX143" s="181"/>
      <c r="WVY143" s="181"/>
      <c r="WVZ143" s="181"/>
      <c r="WWA143" s="181"/>
      <c r="WWB143" s="181"/>
      <c r="WWC143" s="181"/>
      <c r="WWD143" s="181"/>
      <c r="WWE143" s="181"/>
      <c r="WWF143" s="181"/>
      <c r="WWG143" s="181"/>
      <c r="WWH143" s="181"/>
      <c r="WWI143" s="181"/>
      <c r="WWJ143" s="181"/>
      <c r="WWK143" s="181"/>
      <c r="WWL143" s="181"/>
      <c r="WWM143" s="181"/>
      <c r="WWN143" s="181"/>
      <c r="WWO143" s="181"/>
      <c r="WWP143" s="181"/>
      <c r="WWQ143" s="181"/>
      <c r="WWR143" s="181"/>
      <c r="WWS143" s="181"/>
      <c r="WWT143" s="181"/>
      <c r="WWU143" s="181"/>
      <c r="WWV143" s="181"/>
      <c r="WWW143" s="181"/>
      <c r="WWX143" s="181"/>
      <c r="WWY143" s="181"/>
      <c r="WWZ143" s="181"/>
      <c r="WXA143" s="181"/>
      <c r="WXB143" s="181"/>
      <c r="WXC143" s="181"/>
      <c r="WXD143" s="181"/>
      <c r="WXE143" s="181"/>
      <c r="WXF143" s="181"/>
      <c r="WXG143" s="181"/>
      <c r="WXH143" s="181"/>
      <c r="WXI143" s="181"/>
      <c r="WXJ143" s="181"/>
      <c r="WXK143" s="181"/>
      <c r="WXL143" s="181"/>
      <c r="WXM143" s="181"/>
      <c r="WXN143" s="181"/>
      <c r="WXO143" s="181"/>
      <c r="WXP143" s="181"/>
      <c r="WXQ143" s="181"/>
      <c r="WXR143" s="181"/>
      <c r="WXS143" s="181"/>
      <c r="WXT143" s="181"/>
      <c r="WXU143" s="181"/>
      <c r="WXV143" s="181"/>
      <c r="WXW143" s="181"/>
      <c r="WXX143" s="181"/>
      <c r="WXY143" s="181"/>
      <c r="WXZ143" s="181"/>
      <c r="WYA143" s="181"/>
      <c r="WYB143" s="181"/>
      <c r="WYC143" s="181"/>
      <c r="WYD143" s="181"/>
      <c r="WYE143" s="181"/>
      <c r="WYF143" s="181"/>
      <c r="WYG143" s="181"/>
      <c r="WYH143" s="181"/>
      <c r="WYI143" s="181"/>
      <c r="WYJ143" s="181"/>
      <c r="WYK143" s="181"/>
      <c r="WYL143" s="181"/>
      <c r="WYM143" s="181"/>
      <c r="WYN143" s="181"/>
      <c r="WYO143" s="181"/>
      <c r="WYP143" s="181"/>
      <c r="WYQ143" s="181"/>
      <c r="WYR143" s="181"/>
      <c r="WYS143" s="181"/>
      <c r="WYT143" s="181"/>
      <c r="WYU143" s="181"/>
      <c r="WYV143" s="181"/>
      <c r="WYW143" s="181"/>
      <c r="WYX143" s="181"/>
      <c r="WYY143" s="181"/>
      <c r="WYZ143" s="181"/>
      <c r="WZA143" s="181"/>
      <c r="WZB143" s="181"/>
      <c r="WZC143" s="181"/>
      <c r="WZD143" s="181"/>
      <c r="WZE143" s="181"/>
      <c r="WZF143" s="181"/>
      <c r="WZG143" s="181"/>
      <c r="WZH143" s="181"/>
      <c r="WZI143" s="181"/>
      <c r="WZJ143" s="181"/>
      <c r="WZK143" s="181"/>
      <c r="WZL143" s="181"/>
      <c r="WZM143" s="181"/>
      <c r="WZN143" s="181"/>
      <c r="WZO143" s="181"/>
      <c r="WZP143" s="181"/>
      <c r="WZQ143" s="181"/>
      <c r="WZR143" s="181"/>
      <c r="WZS143" s="181"/>
      <c r="WZT143" s="181"/>
      <c r="WZU143" s="181"/>
      <c r="WZV143" s="181"/>
      <c r="WZW143" s="181"/>
      <c r="WZX143" s="181"/>
      <c r="WZY143" s="181"/>
      <c r="WZZ143" s="181"/>
      <c r="XAA143" s="181"/>
      <c r="XAB143" s="181"/>
      <c r="XAC143" s="181"/>
      <c r="XAD143" s="181"/>
      <c r="XAE143" s="181"/>
      <c r="XAF143" s="181"/>
      <c r="XAG143" s="181"/>
      <c r="XAH143" s="181"/>
      <c r="XAI143" s="181"/>
      <c r="XAJ143" s="181"/>
      <c r="XAK143" s="181"/>
      <c r="XAL143" s="181"/>
      <c r="XAM143" s="181"/>
      <c r="XAN143" s="181"/>
      <c r="XAO143" s="181"/>
      <c r="XAP143" s="181"/>
      <c r="XAQ143" s="181"/>
      <c r="XAR143" s="181"/>
      <c r="XAS143" s="181"/>
      <c r="XAT143" s="181"/>
      <c r="XAU143" s="181"/>
      <c r="XAV143" s="181"/>
      <c r="XAW143" s="181"/>
      <c r="XAX143" s="181"/>
      <c r="XAY143" s="181"/>
      <c r="XAZ143" s="181"/>
      <c r="XBA143" s="181"/>
      <c r="XBB143" s="181"/>
      <c r="XBC143" s="181"/>
      <c r="XBD143" s="181"/>
      <c r="XBE143" s="181"/>
      <c r="XBF143" s="181"/>
      <c r="XBG143" s="181"/>
      <c r="XBH143" s="181"/>
      <c r="XBI143" s="181"/>
      <c r="XBJ143" s="181"/>
      <c r="XBK143" s="181"/>
      <c r="XBL143" s="181"/>
      <c r="XBM143" s="181"/>
      <c r="XBN143" s="181"/>
      <c r="XBO143" s="181"/>
      <c r="XBP143" s="181"/>
      <c r="XBQ143" s="181"/>
      <c r="XBR143" s="181"/>
      <c r="XBS143" s="181"/>
      <c r="XBT143" s="181"/>
      <c r="XBU143" s="181"/>
      <c r="XBV143" s="181"/>
      <c r="XBW143" s="181"/>
      <c r="XBX143" s="181"/>
      <c r="XBY143" s="181"/>
      <c r="XBZ143" s="181"/>
      <c r="XCA143" s="181"/>
      <c r="XCB143" s="181"/>
      <c r="XCC143" s="181"/>
      <c r="XCD143" s="181"/>
      <c r="XCE143" s="181"/>
      <c r="XCF143" s="181"/>
      <c r="XCG143" s="181"/>
      <c r="XCH143" s="181"/>
      <c r="XCI143" s="181"/>
      <c r="XCJ143" s="181"/>
      <c r="XCK143" s="181"/>
      <c r="XCL143" s="181"/>
      <c r="XCM143" s="181"/>
      <c r="XCN143" s="181"/>
      <c r="XCO143" s="181"/>
      <c r="XCP143" s="181"/>
      <c r="XCQ143" s="181"/>
      <c r="XCR143" s="181"/>
      <c r="XCS143" s="181"/>
      <c r="XCT143" s="181"/>
      <c r="XCU143" s="181"/>
      <c r="XCV143" s="181"/>
      <c r="XCW143" s="181"/>
      <c r="XCX143" s="181"/>
      <c r="XCY143" s="181"/>
      <c r="XCZ143" s="181"/>
      <c r="XDA143" s="181"/>
      <c r="XDB143" s="181"/>
      <c r="XDC143" s="181"/>
      <c r="XDD143" s="181"/>
      <c r="XDE143" s="181"/>
      <c r="XDF143" s="181"/>
      <c r="XDG143" s="181"/>
      <c r="XDH143" s="181"/>
      <c r="XDI143" s="181"/>
      <c r="XDJ143" s="181"/>
      <c r="XDK143" s="181"/>
      <c r="XDL143" s="181"/>
      <c r="XDM143" s="181"/>
      <c r="XDN143" s="181"/>
      <c r="XDO143" s="181"/>
      <c r="XDP143" s="181"/>
      <c r="XDQ143" s="181"/>
      <c r="XDR143" s="181"/>
      <c r="XDS143" s="181"/>
      <c r="XDT143" s="181"/>
      <c r="XDU143" s="181"/>
      <c r="XDV143" s="181"/>
      <c r="XDW143" s="181"/>
      <c r="XDX143" s="181"/>
      <c r="XDY143" s="181"/>
      <c r="XDZ143" s="181"/>
      <c r="XEA143" s="181"/>
      <c r="XEB143" s="181"/>
      <c r="XEC143" s="181"/>
      <c r="XED143" s="181"/>
      <c r="XEE143" s="181"/>
      <c r="XEF143" s="181"/>
      <c r="XEG143" s="181"/>
      <c r="XEH143" s="181"/>
      <c r="XEI143" s="181"/>
      <c r="XEJ143" s="181"/>
      <c r="XEK143" s="181"/>
      <c r="XEL143" s="181"/>
      <c r="XEM143" s="181"/>
      <c r="XEN143" s="181"/>
      <c r="XEO143" s="181"/>
      <c r="XEP143" s="181"/>
      <c r="XEQ143" s="181"/>
      <c r="XER143" s="181"/>
      <c r="XES143" s="181"/>
      <c r="XET143" s="181"/>
      <c r="XEU143" s="181"/>
      <c r="XEV143" s="181"/>
      <c r="XEW143" s="181"/>
      <c r="XEX143" s="181"/>
      <c r="XEY143" s="181"/>
      <c r="XEZ143" s="181"/>
      <c r="XFA143" s="181"/>
      <c r="XFB143" s="181"/>
    </row>
    <row r="144" spans="1:16382" s="181" customFormat="1" ht="21" customHeight="1" x14ac:dyDescent="0.25">
      <c r="A144" s="412"/>
      <c r="B144" s="1"/>
      <c r="C144" s="174" t="str">
        <f>+'RVK SVÆDI'!C121</f>
        <v>Skógarvegur 16</v>
      </c>
      <c r="D144" s="175">
        <v>1</v>
      </c>
      <c r="E144" s="129" t="str">
        <f>+'RVK SVÆDI'!E121</f>
        <v>Háaleiti-Bústaðir</v>
      </c>
      <c r="F144" s="129" t="str">
        <f>+'RVK SVÆDI'!F121</f>
        <v>Fossvogsskóli</v>
      </c>
      <c r="G144" s="176">
        <v>20</v>
      </c>
      <c r="H144" s="176">
        <v>20</v>
      </c>
      <c r="I144" s="176">
        <f t="shared" si="90"/>
        <v>0</v>
      </c>
      <c r="J144" s="177">
        <f t="shared" si="89"/>
        <v>0</v>
      </c>
      <c r="K144" s="129"/>
      <c r="L144" s="178"/>
      <c r="M144" s="129"/>
      <c r="N144" s="178"/>
      <c r="O144" s="178"/>
      <c r="P144" s="129"/>
      <c r="Q144" s="179"/>
      <c r="R144" s="179"/>
      <c r="S144" s="179"/>
      <c r="T144" s="179"/>
      <c r="U144" s="179"/>
      <c r="V144" s="114"/>
      <c r="W144" s="114"/>
      <c r="X144" s="180"/>
      <c r="Y144" s="180"/>
      <c r="Z144" s="180"/>
      <c r="AA144" s="129"/>
    </row>
    <row r="145" spans="1:27" s="181" customFormat="1" ht="21" customHeight="1" x14ac:dyDescent="0.25">
      <c r="A145" s="412"/>
      <c r="B145" s="1"/>
      <c r="C145" s="174" t="str">
        <f>+'RVK SVÆDI'!C122</f>
        <v>RÚV-lóð áfangi 2</v>
      </c>
      <c r="D145" s="175">
        <v>1</v>
      </c>
      <c r="E145" s="129" t="str">
        <f>+'RVK SVÆDI'!E122</f>
        <v>Háaleiti-Bústaðir</v>
      </c>
      <c r="F145" s="129" t="str">
        <f>+'RVK SVÆDI'!F122</f>
        <v>Hvassaleitisskóli</v>
      </c>
      <c r="G145" s="176">
        <v>290</v>
      </c>
      <c r="H145" s="176">
        <v>290</v>
      </c>
      <c r="I145" s="176">
        <v>0</v>
      </c>
      <c r="J145" s="177">
        <v>0</v>
      </c>
      <c r="K145" s="129"/>
      <c r="L145" s="178"/>
      <c r="M145" s="129"/>
      <c r="N145" s="178"/>
      <c r="O145" s="178"/>
      <c r="P145" s="129"/>
      <c r="Q145" s="179"/>
      <c r="R145" s="179"/>
      <c r="S145" s="179"/>
      <c r="T145" s="179"/>
      <c r="U145" s="179"/>
      <c r="V145" s="114"/>
      <c r="W145" s="114"/>
      <c r="X145" s="180"/>
      <c r="Y145" s="180"/>
      <c r="Z145" s="180"/>
      <c r="AA145" s="129"/>
    </row>
    <row r="146" spans="1:27" s="7" customFormat="1" ht="21" customHeight="1" x14ac:dyDescent="0.25">
      <c r="A146" s="412"/>
      <c r="B146" s="1"/>
      <c r="C146" s="365" t="str">
        <f>+'RVK SVÆDI'!C123</f>
        <v>Háaleitisbraut 12 (B)</v>
      </c>
      <c r="D146" s="8">
        <v>3</v>
      </c>
      <c r="E146" s="6" t="str">
        <f>+'RVK SVÆDI'!E123</f>
        <v>Háaleiti-Bústaðir</v>
      </c>
      <c r="F146" s="6" t="str">
        <f>+'RVK SVÆDI'!F123</f>
        <v>Álftamýrarskóli</v>
      </c>
      <c r="G146" s="112">
        <v>20</v>
      </c>
      <c r="H146" s="112">
        <v>0</v>
      </c>
      <c r="I146" s="112">
        <v>0</v>
      </c>
      <c r="J146" s="6">
        <f t="shared" si="89"/>
        <v>0</v>
      </c>
      <c r="K146" s="6"/>
      <c r="L146" s="112">
        <v>0.5</v>
      </c>
      <c r="M146" s="6">
        <f t="shared" ref="M146:M218" si="97">+L146*12</f>
        <v>6</v>
      </c>
      <c r="N146" s="375">
        <v>24</v>
      </c>
      <c r="O146" s="112">
        <v>14</v>
      </c>
      <c r="P146" s="6">
        <f t="shared" ref="P146:P147" si="98">+N146+O146+18</f>
        <v>56</v>
      </c>
      <c r="Q146" s="113">
        <f t="shared" ref="Q146:U149" si="99">IFERROR(IF(AND((Q$238-$P146)/$M146&gt;0,(Q$238-$P146)/$M146&lt;1),(Q$238-$P146)/$M146,IF((Q$238-$P146)/$M146&gt;0,1,0)),0)</f>
        <v>0</v>
      </c>
      <c r="R146" s="113">
        <f t="shared" si="99"/>
        <v>0</v>
      </c>
      <c r="S146" s="113">
        <f t="shared" si="99"/>
        <v>0</v>
      </c>
      <c r="T146" s="113">
        <f t="shared" si="99"/>
        <v>0</v>
      </c>
      <c r="U146" s="113">
        <f t="shared" si="99"/>
        <v>0</v>
      </c>
      <c r="V146" s="114"/>
      <c r="W146" s="114"/>
      <c r="X146" s="114">
        <f t="shared" si="85"/>
        <v>0</v>
      </c>
      <c r="Y146" s="114">
        <f t="shared" si="86"/>
        <v>0</v>
      </c>
      <c r="Z146" s="114">
        <f t="shared" si="87"/>
        <v>0</v>
      </c>
      <c r="AA146" s="6"/>
    </row>
    <row r="147" spans="1:27" s="7" customFormat="1" ht="21" customHeight="1" x14ac:dyDescent="0.25">
      <c r="A147" s="412"/>
      <c r="B147" s="1"/>
      <c r="C147" s="365" t="str">
        <f>+'RVK SVÆDI'!C124</f>
        <v>Borgarspítalareitur</v>
      </c>
      <c r="D147" s="8">
        <v>4</v>
      </c>
      <c r="E147" s="6" t="str">
        <f>+'RVK SVÆDI'!E124</f>
        <v>Háaleiti-Bústaðir</v>
      </c>
      <c r="F147" s="6" t="str">
        <f>+'RVK SVÆDI'!F124</f>
        <v>Fossvogsskóli</v>
      </c>
      <c r="G147" s="112">
        <v>225</v>
      </c>
      <c r="H147" s="112">
        <v>0</v>
      </c>
      <c r="I147" s="112">
        <v>0</v>
      </c>
      <c r="J147" s="6">
        <f t="shared" si="89"/>
        <v>0</v>
      </c>
      <c r="K147" s="6"/>
      <c r="L147" s="112">
        <v>5</v>
      </c>
      <c r="M147" s="6">
        <f t="shared" si="97"/>
        <v>60</v>
      </c>
      <c r="N147" s="112">
        <v>84</v>
      </c>
      <c r="O147" s="112">
        <v>14</v>
      </c>
      <c r="P147" s="6">
        <f t="shared" si="98"/>
        <v>116</v>
      </c>
      <c r="Q147" s="113">
        <f t="shared" si="99"/>
        <v>0</v>
      </c>
      <c r="R147" s="113">
        <f t="shared" si="99"/>
        <v>0</v>
      </c>
      <c r="S147" s="113">
        <f t="shared" si="99"/>
        <v>0</v>
      </c>
      <c r="T147" s="113">
        <f t="shared" si="99"/>
        <v>0</v>
      </c>
      <c r="U147" s="113">
        <f t="shared" si="99"/>
        <v>0</v>
      </c>
      <c r="V147" s="114"/>
      <c r="W147" s="114"/>
      <c r="X147" s="114">
        <f t="shared" si="85"/>
        <v>0</v>
      </c>
      <c r="Y147" s="114">
        <f t="shared" si="86"/>
        <v>0</v>
      </c>
      <c r="Z147" s="114">
        <f t="shared" si="87"/>
        <v>0</v>
      </c>
      <c r="AA147" s="6"/>
    </row>
    <row r="148" spans="1:27" s="181" customFormat="1" ht="21" customHeight="1" x14ac:dyDescent="0.25">
      <c r="A148" s="412"/>
      <c r="B148" s="1"/>
      <c r="C148" s="174" t="str">
        <f>+'RVK SVÆDI'!C125</f>
        <v xml:space="preserve">Vigdísarlundur/Fossvogsvegur 8 </v>
      </c>
      <c r="D148" s="175">
        <v>1</v>
      </c>
      <c r="E148" s="129" t="str">
        <f>+'RVK SVÆDI'!E125</f>
        <v>Háaleiti-Bústaðir</v>
      </c>
      <c r="F148" s="129" t="str">
        <f>+'RVK SVÆDI'!F125</f>
        <v>Fossvogsskóli</v>
      </c>
      <c r="G148" s="176">
        <v>15</v>
      </c>
      <c r="H148" s="176">
        <v>15</v>
      </c>
      <c r="I148" s="176">
        <f t="shared" ref="I148" si="100">+G148-H148</f>
        <v>0</v>
      </c>
      <c r="J148" s="177">
        <f t="shared" si="89"/>
        <v>0</v>
      </c>
      <c r="K148" s="129"/>
      <c r="L148" s="178"/>
      <c r="M148" s="129"/>
      <c r="N148" s="178"/>
      <c r="O148" s="178"/>
      <c r="P148" s="129"/>
      <c r="Q148" s="179"/>
      <c r="R148" s="179"/>
      <c r="S148" s="179"/>
      <c r="T148" s="179"/>
      <c r="U148" s="179"/>
      <c r="V148" s="114"/>
      <c r="W148" s="114"/>
      <c r="X148" s="180"/>
      <c r="Y148" s="180"/>
      <c r="Z148" s="180"/>
      <c r="AA148" s="129"/>
    </row>
    <row r="149" spans="1:27" s="7" customFormat="1" ht="21" customHeight="1" x14ac:dyDescent="0.25">
      <c r="A149" s="412"/>
      <c r="B149" s="1"/>
      <c r="C149" s="365" t="str">
        <f>+'RVK SVÆDI'!C126</f>
        <v>Stóragerði 40 (B)</v>
      </c>
      <c r="D149" s="8">
        <v>5</v>
      </c>
      <c r="E149" s="6" t="str">
        <f>+'RVK SVÆDI'!E126</f>
        <v>Háaleiti-Bústaðir</v>
      </c>
      <c r="F149" s="6" t="str">
        <f>+'RVK SVÆDI'!F126</f>
        <v>Hvassaleitisskóli</v>
      </c>
      <c r="G149" s="112">
        <v>15</v>
      </c>
      <c r="H149" s="112">
        <v>0</v>
      </c>
      <c r="I149" s="112">
        <v>0</v>
      </c>
      <c r="J149" s="6">
        <f t="shared" si="89"/>
        <v>0</v>
      </c>
      <c r="K149" s="6"/>
      <c r="L149" s="112">
        <v>0.5</v>
      </c>
      <c r="M149" s="6">
        <f t="shared" si="97"/>
        <v>6</v>
      </c>
      <c r="N149" s="112">
        <v>48</v>
      </c>
      <c r="O149" s="112">
        <v>12</v>
      </c>
      <c r="P149" s="6">
        <f t="shared" si="83"/>
        <v>78</v>
      </c>
      <c r="Q149" s="113">
        <f t="shared" si="99"/>
        <v>0</v>
      </c>
      <c r="R149" s="113">
        <f t="shared" si="99"/>
        <v>0</v>
      </c>
      <c r="S149" s="113">
        <f t="shared" si="99"/>
        <v>0</v>
      </c>
      <c r="T149" s="113">
        <f t="shared" si="99"/>
        <v>0</v>
      </c>
      <c r="U149" s="113">
        <f t="shared" si="99"/>
        <v>0</v>
      </c>
      <c r="V149" s="114"/>
      <c r="W149" s="114"/>
      <c r="X149" s="114">
        <f t="shared" si="85"/>
        <v>0</v>
      </c>
      <c r="Y149" s="114">
        <f t="shared" si="86"/>
        <v>0</v>
      </c>
      <c r="Z149" s="114">
        <f t="shared" si="87"/>
        <v>0</v>
      </c>
      <c r="AA149" s="6"/>
    </row>
    <row r="150" spans="1:27" s="181" customFormat="1" ht="21" customHeight="1" x14ac:dyDescent="0.25">
      <c r="A150" s="412"/>
      <c r="B150" s="1"/>
      <c r="C150" s="174" t="str">
        <f>+'RVK SVÆDI'!C127</f>
        <v>Sogavegur 73-77</v>
      </c>
      <c r="D150" s="175">
        <v>1</v>
      </c>
      <c r="E150" s="129" t="str">
        <f>+'RVK SVÆDI'!E127</f>
        <v>Háaleiti-Bústaðir</v>
      </c>
      <c r="F150" s="129" t="str">
        <f>+'RVK SVÆDI'!F127</f>
        <v>Breiðagerðisskóli</v>
      </c>
      <c r="G150" s="176">
        <v>45</v>
      </c>
      <c r="H150" s="176">
        <v>45</v>
      </c>
      <c r="I150" s="176">
        <v>0</v>
      </c>
      <c r="J150" s="177">
        <f t="shared" si="89"/>
        <v>0</v>
      </c>
      <c r="K150" s="129"/>
      <c r="L150" s="178"/>
      <c r="M150" s="129"/>
      <c r="N150" s="178"/>
      <c r="O150" s="178"/>
      <c r="P150" s="129"/>
      <c r="Q150" s="179"/>
      <c r="R150" s="179"/>
      <c r="S150" s="179"/>
      <c r="T150" s="179"/>
      <c r="U150" s="179"/>
      <c r="V150" s="114"/>
      <c r="W150" s="114"/>
      <c r="X150" s="180">
        <v>0</v>
      </c>
      <c r="Y150" s="180">
        <v>0</v>
      </c>
      <c r="Z150" s="180">
        <v>0</v>
      </c>
      <c r="AA150" s="129"/>
    </row>
    <row r="151" spans="1:27" s="7" customFormat="1" ht="21" customHeight="1" x14ac:dyDescent="0.25">
      <c r="A151" s="412"/>
      <c r="B151" s="1"/>
      <c r="C151" s="365" t="str">
        <f>+'RVK SVÆDI'!C128</f>
        <v>Fram-svæði - Miklabraut 101</v>
      </c>
      <c r="D151" s="8">
        <v>5</v>
      </c>
      <c r="E151" s="6" t="str">
        <f>+'RVK SVÆDI'!E128</f>
        <v>Háaleiti-Bústaðir</v>
      </c>
      <c r="F151" s="6" t="str">
        <f>+'RVK SVÆDI'!F128</f>
        <v>Álftamýrarskóli</v>
      </c>
      <c r="G151" s="112">
        <v>300</v>
      </c>
      <c r="H151" s="112">
        <v>0</v>
      </c>
      <c r="I151" s="112">
        <v>0</v>
      </c>
      <c r="J151" s="6">
        <f t="shared" si="89"/>
        <v>0</v>
      </c>
      <c r="K151" s="6"/>
      <c r="L151" s="112">
        <v>6</v>
      </c>
      <c r="M151" s="6">
        <f t="shared" si="97"/>
        <v>72</v>
      </c>
      <c r="N151" s="112">
        <v>120</v>
      </c>
      <c r="O151" s="112">
        <v>14</v>
      </c>
      <c r="P151" s="6">
        <f t="shared" si="83"/>
        <v>152</v>
      </c>
      <c r="Q151" s="113">
        <f t="shared" ref="Q151:U157" si="101">IFERROR(IF(AND((Q$238-$P151)/$M151&gt;0,(Q$238-$P151)/$M151&lt;1),(Q$238-$P151)/$M151,IF((Q$238-$P151)/$M151&gt;0,1,0)),0)</f>
        <v>0</v>
      </c>
      <c r="R151" s="113">
        <f t="shared" si="101"/>
        <v>0</v>
      </c>
      <c r="S151" s="113">
        <f t="shared" si="101"/>
        <v>0</v>
      </c>
      <c r="T151" s="113">
        <f t="shared" si="101"/>
        <v>0</v>
      </c>
      <c r="U151" s="113">
        <f t="shared" si="101"/>
        <v>0</v>
      </c>
      <c r="V151" s="114"/>
      <c r="W151" s="114"/>
      <c r="X151" s="114">
        <f t="shared" si="85"/>
        <v>0</v>
      </c>
      <c r="Y151" s="114">
        <f t="shared" si="86"/>
        <v>0</v>
      </c>
      <c r="Z151" s="114">
        <f t="shared" si="87"/>
        <v>0</v>
      </c>
      <c r="AA151" s="6"/>
    </row>
    <row r="152" spans="1:27" s="7" customFormat="1" ht="21" customHeight="1" x14ac:dyDescent="0.25">
      <c r="A152" s="412"/>
      <c r="B152" s="1"/>
      <c r="C152" s="365" t="str">
        <f>+'RVK SVÆDI'!C129</f>
        <v>Lágmúli (C40)</v>
      </c>
      <c r="D152" s="374">
        <v>3</v>
      </c>
      <c r="E152" s="6" t="str">
        <f>+'RVK SVÆDI'!E129</f>
        <v>Háaleiti-Bústaðir</v>
      </c>
      <c r="F152" s="6" t="str">
        <f>+'RVK SVÆDI'!F129</f>
        <v>Álftamýrarskóli</v>
      </c>
      <c r="G152" s="112">
        <v>100</v>
      </c>
      <c r="H152" s="112">
        <v>0</v>
      </c>
      <c r="I152" s="112">
        <v>0</v>
      </c>
      <c r="J152" s="6">
        <f t="shared" si="89"/>
        <v>0</v>
      </c>
      <c r="K152" s="6"/>
      <c r="L152" s="112">
        <v>1.5</v>
      </c>
      <c r="M152" s="6">
        <f t="shared" si="97"/>
        <v>18</v>
      </c>
      <c r="N152" s="375">
        <v>24</v>
      </c>
      <c r="O152" s="112">
        <v>14</v>
      </c>
      <c r="P152" s="6">
        <f t="shared" si="83"/>
        <v>56</v>
      </c>
      <c r="Q152" s="113">
        <f t="shared" si="101"/>
        <v>0</v>
      </c>
      <c r="R152" s="113">
        <f t="shared" si="101"/>
        <v>0</v>
      </c>
      <c r="S152" s="113">
        <f t="shared" si="101"/>
        <v>0</v>
      </c>
      <c r="T152" s="113">
        <f t="shared" si="101"/>
        <v>0</v>
      </c>
      <c r="U152" s="113">
        <f t="shared" si="101"/>
        <v>0</v>
      </c>
      <c r="V152" s="114"/>
      <c r="W152" s="114"/>
      <c r="X152" s="114">
        <f t="shared" si="85"/>
        <v>0</v>
      </c>
      <c r="Y152" s="114">
        <f t="shared" si="86"/>
        <v>0</v>
      </c>
      <c r="Z152" s="114">
        <f t="shared" si="87"/>
        <v>0</v>
      </c>
      <c r="AA152" s="6"/>
    </row>
    <row r="153" spans="1:27" s="7" customFormat="1" ht="21" customHeight="1" x14ac:dyDescent="0.25">
      <c r="A153" s="412"/>
      <c r="B153" s="1"/>
      <c r="C153" s="365" t="str">
        <f>+'RVK SVÆDI'!C130</f>
        <v>Ármúli-Suðurlandsbraut</v>
      </c>
      <c r="D153" s="8">
        <v>4</v>
      </c>
      <c r="E153" s="6" t="str">
        <f>+'RVK SVÆDI'!E130</f>
        <v>Háaleiti-Bústaðir</v>
      </c>
      <c r="F153" s="6" t="str">
        <f>+'RVK SVÆDI'!F130</f>
        <v>Álftamýrarskóli</v>
      </c>
      <c r="G153" s="112">
        <v>200</v>
      </c>
      <c r="H153" s="112">
        <v>0</v>
      </c>
      <c r="I153" s="112">
        <v>0</v>
      </c>
      <c r="J153" s="6">
        <f t="shared" si="89"/>
        <v>0</v>
      </c>
      <c r="K153" s="6"/>
      <c r="L153" s="112">
        <v>4</v>
      </c>
      <c r="M153" s="6">
        <f t="shared" si="97"/>
        <v>48</v>
      </c>
      <c r="N153" s="112">
        <v>60</v>
      </c>
      <c r="O153" s="112">
        <v>14</v>
      </c>
      <c r="P153" s="6">
        <f t="shared" si="83"/>
        <v>92</v>
      </c>
      <c r="Q153" s="113">
        <f t="shared" si="101"/>
        <v>0</v>
      </c>
      <c r="R153" s="113">
        <f t="shared" si="101"/>
        <v>0</v>
      </c>
      <c r="S153" s="113">
        <f t="shared" si="101"/>
        <v>0</v>
      </c>
      <c r="T153" s="113">
        <f t="shared" si="101"/>
        <v>0</v>
      </c>
      <c r="U153" s="113">
        <f t="shared" si="101"/>
        <v>0</v>
      </c>
      <c r="V153" s="114"/>
      <c r="W153" s="114"/>
      <c r="X153" s="114">
        <f t="shared" si="85"/>
        <v>0</v>
      </c>
      <c r="Y153" s="114">
        <f t="shared" si="86"/>
        <v>0</v>
      </c>
      <c r="Z153" s="114">
        <f t="shared" si="87"/>
        <v>0</v>
      </c>
      <c r="AA153" s="6"/>
    </row>
    <row r="154" spans="1:27" s="7" customFormat="1" ht="21" customHeight="1" x14ac:dyDescent="0.25">
      <c r="A154" s="412"/>
      <c r="B154" s="1"/>
      <c r="C154" s="365" t="str">
        <f>+'RVK SVÆDI'!C131</f>
        <v>Síðumúli-þróunarsvæði</v>
      </c>
      <c r="D154" s="8">
        <v>4</v>
      </c>
      <c r="E154" s="6" t="str">
        <f>+'RVK SVÆDI'!E131</f>
        <v>Háaleiti-Bústaðir</v>
      </c>
      <c r="F154" s="6" t="str">
        <f>+'RVK SVÆDI'!F131</f>
        <v>Álftamýrarskóli</v>
      </c>
      <c r="G154" s="112">
        <v>300</v>
      </c>
      <c r="H154" s="112">
        <v>0</v>
      </c>
      <c r="I154" s="112">
        <v>0</v>
      </c>
      <c r="J154" s="6">
        <f t="shared" si="89"/>
        <v>0</v>
      </c>
      <c r="K154" s="6"/>
      <c r="L154" s="112">
        <v>12</v>
      </c>
      <c r="M154" s="6">
        <f t="shared" si="97"/>
        <v>144</v>
      </c>
      <c r="N154" s="112">
        <v>60</v>
      </c>
      <c r="O154" s="112">
        <v>14</v>
      </c>
      <c r="P154" s="6">
        <f t="shared" si="83"/>
        <v>92</v>
      </c>
      <c r="Q154" s="113">
        <f t="shared" si="101"/>
        <v>0</v>
      </c>
      <c r="R154" s="113">
        <f t="shared" si="101"/>
        <v>0</v>
      </c>
      <c r="S154" s="113">
        <f t="shared" si="101"/>
        <v>0</v>
      </c>
      <c r="T154" s="113">
        <f t="shared" si="101"/>
        <v>0</v>
      </c>
      <c r="U154" s="113">
        <f t="shared" si="101"/>
        <v>0</v>
      </c>
      <c r="V154" s="114"/>
      <c r="W154" s="114"/>
      <c r="X154" s="114">
        <f t="shared" si="85"/>
        <v>0</v>
      </c>
      <c r="Y154" s="114">
        <f t="shared" si="86"/>
        <v>0</v>
      </c>
      <c r="Z154" s="114">
        <f t="shared" si="87"/>
        <v>0</v>
      </c>
      <c r="AA154" s="6"/>
    </row>
    <row r="155" spans="1:27" s="7" customFormat="1" ht="21" customHeight="1" x14ac:dyDescent="0.25">
      <c r="A155" s="412"/>
      <c r="B155" s="1"/>
      <c r="C155" s="7" t="str">
        <f>+'RVK SVÆDI'!C132</f>
        <v>Orkureitur</v>
      </c>
      <c r="D155" s="374">
        <v>2</v>
      </c>
      <c r="E155" s="6" t="str">
        <f>+'RVK SVÆDI'!E132</f>
        <v>Háaleiti-Bústaðir</v>
      </c>
      <c r="F155" s="6" t="str">
        <f>+'RVK SVÆDI'!F132</f>
        <v>Álftamýrarskóli</v>
      </c>
      <c r="G155" s="375">
        <v>436</v>
      </c>
      <c r="H155" s="112">
        <v>0</v>
      </c>
      <c r="I155" s="112">
        <v>0</v>
      </c>
      <c r="J155" s="6">
        <f>+IF(D155=1,(G155-H155-I155),IF(D155=2,(G155-H155-I155),0))</f>
        <v>436</v>
      </c>
      <c r="K155" s="6"/>
      <c r="L155" s="375">
        <v>2.9</v>
      </c>
      <c r="M155" s="6">
        <f t="shared" si="97"/>
        <v>34.799999999999997</v>
      </c>
      <c r="N155" s="375">
        <v>12</v>
      </c>
      <c r="O155" s="112">
        <v>14</v>
      </c>
      <c r="P155" s="6">
        <f t="shared" si="83"/>
        <v>44</v>
      </c>
      <c r="Q155" s="113">
        <f t="shared" si="101"/>
        <v>0</v>
      </c>
      <c r="R155" s="113">
        <f t="shared" si="101"/>
        <v>0</v>
      </c>
      <c r="S155" s="113">
        <f t="shared" si="101"/>
        <v>0</v>
      </c>
      <c r="T155" s="113">
        <f t="shared" si="101"/>
        <v>0</v>
      </c>
      <c r="U155" s="113">
        <f t="shared" si="101"/>
        <v>0.2873563218390805</v>
      </c>
      <c r="V155" s="114"/>
      <c r="W155" s="114"/>
      <c r="X155" s="114">
        <f t="shared" si="85"/>
        <v>0</v>
      </c>
      <c r="Y155" s="377">
        <f t="shared" si="86"/>
        <v>0</v>
      </c>
      <c r="Z155" s="377">
        <v>80</v>
      </c>
      <c r="AA155" s="6"/>
    </row>
    <row r="156" spans="1:27" s="7" customFormat="1" ht="21" customHeight="1" x14ac:dyDescent="0.25">
      <c r="A156" s="412"/>
      <c r="B156" s="1"/>
      <c r="C156" s="365" t="str">
        <f>+'RVK SVÆDI'!C133</f>
        <v>Háaleitisbraut-Miklabraut</v>
      </c>
      <c r="D156" s="8">
        <v>5</v>
      </c>
      <c r="E156" s="6" t="str">
        <f>+'RVK SVÆDI'!E133</f>
        <v>Háaleiti-Bústaðir</v>
      </c>
      <c r="F156" s="6" t="str">
        <f>+'RVK SVÆDI'!F133</f>
        <v>Álftamýrarskóli</v>
      </c>
      <c r="G156" s="112">
        <v>40</v>
      </c>
      <c r="H156" s="112">
        <v>0</v>
      </c>
      <c r="I156" s="112">
        <v>0</v>
      </c>
      <c r="J156" s="6">
        <f t="shared" si="89"/>
        <v>0</v>
      </c>
      <c r="K156" s="6"/>
      <c r="L156" s="112">
        <v>1</v>
      </c>
      <c r="M156" s="6">
        <f t="shared" si="97"/>
        <v>12</v>
      </c>
      <c r="N156" s="112">
        <v>84</v>
      </c>
      <c r="O156" s="112">
        <v>14</v>
      </c>
      <c r="P156" s="6">
        <f t="shared" si="83"/>
        <v>116</v>
      </c>
      <c r="Q156" s="113">
        <f t="shared" si="101"/>
        <v>0</v>
      </c>
      <c r="R156" s="113">
        <f t="shared" si="101"/>
        <v>0</v>
      </c>
      <c r="S156" s="113">
        <f t="shared" si="101"/>
        <v>0</v>
      </c>
      <c r="T156" s="113">
        <f t="shared" si="101"/>
        <v>0</v>
      </c>
      <c r="U156" s="113">
        <f t="shared" si="101"/>
        <v>0</v>
      </c>
      <c r="V156" s="114"/>
      <c r="W156" s="114"/>
      <c r="X156" s="114">
        <f t="shared" si="85"/>
        <v>0</v>
      </c>
      <c r="Y156" s="114">
        <f t="shared" si="86"/>
        <v>0</v>
      </c>
      <c r="Z156" s="114">
        <f t="shared" si="87"/>
        <v>0</v>
      </c>
      <c r="AA156" s="6"/>
    </row>
    <row r="157" spans="1:27" s="7" customFormat="1" ht="21" customHeight="1" x14ac:dyDescent="0.25">
      <c r="A157" s="412"/>
      <c r="B157" s="1"/>
      <c r="C157" s="7" t="str">
        <f>+'RVK SVÆDI'!C134</f>
        <v>Furugerði</v>
      </c>
      <c r="D157" s="8">
        <v>1</v>
      </c>
      <c r="E157" s="6" t="str">
        <f>+'RVK SVÆDI'!E134</f>
        <v>Háaleiti-Bústaðir</v>
      </c>
      <c r="F157" s="6" t="str">
        <f>+'RVK SVÆDI'!F134</f>
        <v>Álftamýrarskóli</v>
      </c>
      <c r="G157" s="112">
        <v>30</v>
      </c>
      <c r="H157" s="112">
        <v>0</v>
      </c>
      <c r="I157" s="375">
        <v>30</v>
      </c>
      <c r="J157" s="6">
        <f t="shared" si="89"/>
        <v>0</v>
      </c>
      <c r="K157" s="6"/>
      <c r="L157" s="112">
        <v>1</v>
      </c>
      <c r="M157" s="6">
        <f t="shared" si="97"/>
        <v>12</v>
      </c>
      <c r="N157" s="112">
        <v>-2</v>
      </c>
      <c r="O157" s="112">
        <v>6</v>
      </c>
      <c r="P157" s="6">
        <f t="shared" si="83"/>
        <v>22</v>
      </c>
      <c r="Q157" s="113">
        <f t="shared" si="101"/>
        <v>0</v>
      </c>
      <c r="R157" s="113">
        <f t="shared" si="101"/>
        <v>0</v>
      </c>
      <c r="S157" s="113">
        <f t="shared" si="101"/>
        <v>0.66666666666666663</v>
      </c>
      <c r="T157" s="113">
        <f t="shared" si="101"/>
        <v>1</v>
      </c>
      <c r="U157" s="113">
        <f t="shared" si="101"/>
        <v>1</v>
      </c>
      <c r="V157" s="114"/>
      <c r="W157" s="114"/>
      <c r="X157" s="114">
        <f t="shared" si="85"/>
        <v>20</v>
      </c>
      <c r="Y157" s="114">
        <f t="shared" si="86"/>
        <v>10</v>
      </c>
      <c r="Z157" s="114">
        <f t="shared" si="87"/>
        <v>0</v>
      </c>
      <c r="AA157" s="6"/>
    </row>
    <row r="158" spans="1:27" s="181" customFormat="1" ht="21" customHeight="1" x14ac:dyDescent="0.25">
      <c r="A158" s="412"/>
      <c r="B158" s="1"/>
      <c r="C158" s="174" t="str">
        <f>+'RVK SVÆDI'!C135</f>
        <v>Bústaðavegur 151-153</v>
      </c>
      <c r="D158" s="175">
        <v>2</v>
      </c>
      <c r="E158" s="129" t="str">
        <f>+'RVK SVÆDI'!E135</f>
        <v>Háaleiti-Bústaðir</v>
      </c>
      <c r="F158" s="129" t="str">
        <f>+'RVK SVÆDI'!F135</f>
        <v>Álftamýrarskóli</v>
      </c>
      <c r="G158" s="176"/>
      <c r="H158" s="176"/>
      <c r="I158" s="176"/>
      <c r="J158" s="177"/>
      <c r="K158" s="129"/>
      <c r="L158" s="178"/>
      <c r="M158" s="129"/>
      <c r="N158" s="178"/>
      <c r="O158" s="178"/>
      <c r="P158" s="129"/>
      <c r="Q158" s="179"/>
      <c r="R158" s="179"/>
      <c r="S158" s="179"/>
      <c r="T158" s="179"/>
      <c r="U158" s="179"/>
      <c r="V158" s="180"/>
      <c r="W158" s="180"/>
      <c r="X158" s="180"/>
      <c r="Y158" s="180"/>
      <c r="Z158" s="180"/>
      <c r="AA158" s="129"/>
    </row>
    <row r="159" spans="1:27" s="7" customFormat="1" ht="21" customHeight="1" x14ac:dyDescent="0.25">
      <c r="A159" s="412"/>
      <c r="B159" s="1"/>
      <c r="C159" s="7" t="str">
        <f>+'RVK SVÆDI'!C136</f>
        <v>Ártúnshöfði- Krossamýrartorg - svæði 1</v>
      </c>
      <c r="D159" s="374">
        <v>2</v>
      </c>
      <c r="E159" s="6" t="str">
        <f>+'RVK SVÆDI'!E136</f>
        <v>Ártúnshöfði</v>
      </c>
      <c r="F159" s="6" t="str">
        <f>+'RVK SVÆDI'!F136</f>
        <v>Ártúnshöfði</v>
      </c>
      <c r="G159" s="112">
        <v>1605</v>
      </c>
      <c r="H159" s="112">
        <v>0</v>
      </c>
      <c r="I159" s="112">
        <v>0</v>
      </c>
      <c r="J159" s="6">
        <f>+IF(D159=1,(G159-H159-I159),IF(D159=2,(G159-H159-I159),0))</f>
        <v>1605</v>
      </c>
      <c r="K159" s="6"/>
      <c r="L159" s="375">
        <v>9</v>
      </c>
      <c r="M159" s="6">
        <f t="shared" si="97"/>
        <v>108</v>
      </c>
      <c r="N159" s="375">
        <v>16</v>
      </c>
      <c r="O159" s="112">
        <v>14</v>
      </c>
      <c r="P159" s="6">
        <f t="shared" si="83"/>
        <v>48</v>
      </c>
      <c r="Q159" s="113">
        <f t="shared" ref="Q159:U161" si="102">IFERROR(IF(AND((Q$238-$P159)/$M159&gt;0,(Q$238-$P159)/$M159&lt;1),(Q$238-$P159)/$M159,IF((Q$238-$P159)/$M159&gt;0,1,0)),0)</f>
        <v>0</v>
      </c>
      <c r="R159" s="113">
        <f t="shared" si="102"/>
        <v>0</v>
      </c>
      <c r="S159" s="113">
        <f t="shared" si="102"/>
        <v>0</v>
      </c>
      <c r="T159" s="113">
        <f t="shared" si="102"/>
        <v>0</v>
      </c>
      <c r="U159" s="113">
        <f t="shared" si="102"/>
        <v>5.5555555555555552E-2</v>
      </c>
      <c r="V159" s="114"/>
      <c r="W159" s="114"/>
      <c r="X159" s="114">
        <f t="shared" si="85"/>
        <v>0</v>
      </c>
      <c r="Y159" s="377">
        <f t="shared" si="86"/>
        <v>0</v>
      </c>
      <c r="Z159" s="377">
        <f t="shared" si="87"/>
        <v>89.166666666666657</v>
      </c>
      <c r="AA159" s="6"/>
    </row>
    <row r="160" spans="1:27" s="7" customFormat="1" ht="21" customHeight="1" x14ac:dyDescent="0.25">
      <c r="A160" s="412"/>
      <c r="B160" s="1"/>
      <c r="C160" s="7" t="str">
        <f>+'RVK SVÆDI'!C137</f>
        <v>Ártúnshöfði- Vogur - svæði 2</v>
      </c>
      <c r="D160" s="374">
        <v>2</v>
      </c>
      <c r="E160" s="6" t="str">
        <f>+'RVK SVÆDI'!E137</f>
        <v>Ártúnshöfði</v>
      </c>
      <c r="F160" s="6" t="str">
        <f>+'RVK SVÆDI'!F137</f>
        <v>Ártúnshöfði</v>
      </c>
      <c r="G160" s="112">
        <v>1920</v>
      </c>
      <c r="H160" s="112">
        <v>0</v>
      </c>
      <c r="I160" s="112">
        <v>0</v>
      </c>
      <c r="J160" s="6">
        <f>+IF(D160=1,(G160-H160-I160),IF(D160=2,(G160-H160-I160),0))</f>
        <v>1920</v>
      </c>
      <c r="K160" s="6"/>
      <c r="L160" s="375">
        <v>10</v>
      </c>
      <c r="M160" s="6">
        <f t="shared" si="97"/>
        <v>120</v>
      </c>
      <c r="N160" s="375">
        <v>19</v>
      </c>
      <c r="O160" s="112">
        <v>14</v>
      </c>
      <c r="P160" s="6">
        <f t="shared" si="83"/>
        <v>51</v>
      </c>
      <c r="Q160" s="113">
        <f t="shared" si="102"/>
        <v>0</v>
      </c>
      <c r="R160" s="113">
        <f t="shared" si="102"/>
        <v>0</v>
      </c>
      <c r="S160" s="113">
        <f t="shared" si="102"/>
        <v>0</v>
      </c>
      <c r="T160" s="113">
        <f t="shared" si="102"/>
        <v>0</v>
      </c>
      <c r="U160" s="113">
        <f t="shared" si="102"/>
        <v>2.5000000000000001E-2</v>
      </c>
      <c r="V160" s="114"/>
      <c r="W160" s="114"/>
      <c r="X160" s="114">
        <f t="shared" si="85"/>
        <v>0</v>
      </c>
      <c r="Y160" s="114">
        <f t="shared" si="86"/>
        <v>0</v>
      </c>
      <c r="Z160" s="377">
        <f t="shared" si="87"/>
        <v>48</v>
      </c>
      <c r="AA160" s="6"/>
    </row>
    <row r="161" spans="1:27" s="7" customFormat="1" ht="21" customHeight="1" x14ac:dyDescent="0.25">
      <c r="A161" s="412"/>
      <c r="B161" s="1"/>
      <c r="C161" s="365" t="str">
        <f>+'RVK SVÆDI'!C138</f>
        <v>Ártúnshöfði-landfylling- svæði 3</v>
      </c>
      <c r="D161" s="8">
        <v>4</v>
      </c>
      <c r="E161" s="6" t="str">
        <f>+'RVK SVÆDI'!E138</f>
        <v>Ártúnshöfði</v>
      </c>
      <c r="F161" s="6" t="str">
        <f>+'RVK SVÆDI'!F138</f>
        <v>Ártúnshöfði</v>
      </c>
      <c r="G161" s="112">
        <v>900</v>
      </c>
      <c r="H161" s="112">
        <v>0</v>
      </c>
      <c r="I161" s="112">
        <v>0</v>
      </c>
      <c r="J161" s="6">
        <f t="shared" si="89"/>
        <v>0</v>
      </c>
      <c r="K161" s="6"/>
      <c r="L161" s="112">
        <v>12</v>
      </c>
      <c r="M161" s="6">
        <f t="shared" si="97"/>
        <v>144</v>
      </c>
      <c r="N161" s="112">
        <v>84</v>
      </c>
      <c r="O161" s="112">
        <v>14</v>
      </c>
      <c r="P161" s="6">
        <f t="shared" si="83"/>
        <v>116</v>
      </c>
      <c r="Q161" s="113">
        <f t="shared" si="102"/>
        <v>0</v>
      </c>
      <c r="R161" s="113">
        <f t="shared" si="102"/>
        <v>0</v>
      </c>
      <c r="S161" s="113">
        <f t="shared" si="102"/>
        <v>0</v>
      </c>
      <c r="T161" s="113">
        <f t="shared" si="102"/>
        <v>0</v>
      </c>
      <c r="U161" s="113">
        <f t="shared" si="102"/>
        <v>0</v>
      </c>
      <c r="V161" s="114"/>
      <c r="W161" s="114"/>
      <c r="X161" s="114">
        <f t="shared" si="85"/>
        <v>0</v>
      </c>
      <c r="Y161" s="114">
        <f t="shared" si="86"/>
        <v>0</v>
      </c>
      <c r="Z161" s="114">
        <f t="shared" si="87"/>
        <v>0</v>
      </c>
      <c r="AA161" s="6"/>
    </row>
    <row r="162" spans="1:27" s="7" customFormat="1" ht="21" customHeight="1" x14ac:dyDescent="0.25">
      <c r="A162" s="412"/>
      <c r="B162" s="1"/>
      <c r="C162" s="7" t="str">
        <f>+'RVK SVÆDI'!C139</f>
        <v>Bryggjuhverfi III (Ártúnshöfði svæði 4)</v>
      </c>
      <c r="D162" s="8">
        <v>1</v>
      </c>
      <c r="E162" s="6" t="str">
        <f>+'RVK SVÆDI'!E139</f>
        <v>Ártúnshöfði</v>
      </c>
      <c r="F162" s="6" t="str">
        <f>+'RVK SVÆDI'!F139</f>
        <v>Ártúnshöfði</v>
      </c>
      <c r="G162" s="112">
        <v>833</v>
      </c>
      <c r="H162" s="112">
        <v>206</v>
      </c>
      <c r="I162" s="375">
        <v>110</v>
      </c>
      <c r="J162" s="6">
        <f t="shared" si="89"/>
        <v>517</v>
      </c>
      <c r="K162" s="6"/>
      <c r="L162" s="110" t="s">
        <v>306</v>
      </c>
      <c r="M162" s="111"/>
      <c r="N162" s="111"/>
      <c r="O162" s="111"/>
      <c r="P162" s="111"/>
      <c r="Q162" s="111"/>
      <c r="R162" s="111"/>
      <c r="S162" s="111"/>
      <c r="T162" s="111"/>
      <c r="U162" s="111"/>
      <c r="V162" s="112"/>
      <c r="W162" s="112"/>
      <c r="X162" s="112">
        <f>10+50</f>
        <v>60</v>
      </c>
      <c r="Y162" s="112">
        <v>110</v>
      </c>
      <c r="Z162" s="112">
        <f>115+11</f>
        <v>126</v>
      </c>
      <c r="AA162" s="6"/>
    </row>
    <row r="163" spans="1:27" s="7" customFormat="1" ht="21" customHeight="1" x14ac:dyDescent="0.25">
      <c r="A163" s="412"/>
      <c r="B163" s="1"/>
      <c r="C163" s="7" t="str">
        <f>+'RVK SVÆDI'!C140</f>
        <v>Ártúnshöfði-Höfði-  svæði 5</v>
      </c>
      <c r="D163" s="374">
        <v>3</v>
      </c>
      <c r="E163" s="6" t="str">
        <f>+'RVK SVÆDI'!E140</f>
        <v>Ártúnshöfði</v>
      </c>
      <c r="F163" s="6" t="str">
        <f>+'RVK SVÆDI'!F140</f>
        <v>Ártúnshöfði</v>
      </c>
      <c r="G163" s="112">
        <v>750</v>
      </c>
      <c r="H163" s="112">
        <v>0</v>
      </c>
      <c r="I163" s="112">
        <v>0</v>
      </c>
      <c r="J163" s="6">
        <f t="shared" si="89"/>
        <v>0</v>
      </c>
      <c r="K163" s="6"/>
      <c r="L163" s="112">
        <v>16</v>
      </c>
      <c r="M163" s="6">
        <f t="shared" si="97"/>
        <v>192</v>
      </c>
      <c r="N163" s="112">
        <v>48</v>
      </c>
      <c r="O163" s="112">
        <v>14</v>
      </c>
      <c r="P163" s="6">
        <f t="shared" si="83"/>
        <v>80</v>
      </c>
      <c r="Q163" s="113">
        <f t="shared" ref="Q163:U164" si="103">IFERROR(IF(AND((Q$238-$P163)/$M163&gt;0,(Q$238-$P163)/$M163&lt;1),(Q$238-$P163)/$M163,IF((Q$238-$P163)/$M163&gt;0,1,0)),0)</f>
        <v>0</v>
      </c>
      <c r="R163" s="113">
        <f t="shared" si="103"/>
        <v>0</v>
      </c>
      <c r="S163" s="113">
        <f t="shared" si="103"/>
        <v>0</v>
      </c>
      <c r="T163" s="113">
        <f t="shared" si="103"/>
        <v>0</v>
      </c>
      <c r="U163" s="113">
        <f t="shared" si="103"/>
        <v>0</v>
      </c>
      <c r="V163" s="114"/>
      <c r="W163" s="114"/>
      <c r="X163" s="114">
        <f t="shared" si="85"/>
        <v>0</v>
      </c>
      <c r="Y163" s="114">
        <f t="shared" si="86"/>
        <v>0</v>
      </c>
      <c r="Z163" s="114">
        <f t="shared" si="87"/>
        <v>0</v>
      </c>
      <c r="AA163" s="6"/>
    </row>
    <row r="164" spans="1:27" s="7" customFormat="1" ht="21" customHeight="1" x14ac:dyDescent="0.25">
      <c r="A164" s="412"/>
      <c r="B164" s="1"/>
      <c r="C164" s="365" t="str">
        <f>+'RVK SVÆDI'!C141</f>
        <v>Ártúnshöfði -Bíldshöfði (svæði 6)</v>
      </c>
      <c r="D164" s="8">
        <v>5</v>
      </c>
      <c r="E164" s="6" t="str">
        <f>+'RVK SVÆDI'!E141</f>
        <v>Ártúnshöfði</v>
      </c>
      <c r="F164" s="6" t="str">
        <f>+'RVK SVÆDI'!F141</f>
        <v>Ártúnshöfði</v>
      </c>
      <c r="G164" s="112">
        <v>500</v>
      </c>
      <c r="H164" s="112">
        <v>0</v>
      </c>
      <c r="I164" s="112">
        <v>0</v>
      </c>
      <c r="J164" s="6">
        <f t="shared" si="89"/>
        <v>0</v>
      </c>
      <c r="K164" s="6"/>
      <c r="L164" s="112">
        <v>25</v>
      </c>
      <c r="M164" s="6">
        <f t="shared" si="97"/>
        <v>300</v>
      </c>
      <c r="N164" s="112">
        <v>120</v>
      </c>
      <c r="O164" s="112">
        <v>14</v>
      </c>
      <c r="P164" s="6">
        <f t="shared" si="83"/>
        <v>152</v>
      </c>
      <c r="Q164" s="113">
        <f t="shared" si="103"/>
        <v>0</v>
      </c>
      <c r="R164" s="113">
        <f t="shared" si="103"/>
        <v>0</v>
      </c>
      <c r="S164" s="113">
        <f t="shared" si="103"/>
        <v>0</v>
      </c>
      <c r="T164" s="113">
        <f t="shared" si="103"/>
        <v>0</v>
      </c>
      <c r="U164" s="113">
        <f t="shared" si="103"/>
        <v>0</v>
      </c>
      <c r="V164" s="114"/>
      <c r="W164" s="114"/>
      <c r="X164" s="114">
        <f t="shared" si="85"/>
        <v>0</v>
      </c>
      <c r="Y164" s="114">
        <f t="shared" si="86"/>
        <v>0</v>
      </c>
      <c r="Z164" s="114">
        <f t="shared" si="87"/>
        <v>0</v>
      </c>
      <c r="AA164" s="6"/>
    </row>
    <row r="165" spans="1:27" s="181" customFormat="1" ht="21" customHeight="1" x14ac:dyDescent="0.25">
      <c r="A165" s="412"/>
      <c r="B165" s="1"/>
      <c r="C165" s="174" t="str">
        <f>+'RVK SVÆDI'!C142</f>
        <v>Höfðar AT1</v>
      </c>
      <c r="D165" s="175">
        <v>2</v>
      </c>
      <c r="E165" s="129" t="str">
        <f>+'RVK SVÆDI'!E142</f>
        <v>Ártúnshöfði</v>
      </c>
      <c r="F165" s="129" t="str">
        <f>+'RVK SVÆDI'!F142</f>
        <v>Ártúnshöfði</v>
      </c>
      <c r="G165" s="176"/>
      <c r="H165" s="176"/>
      <c r="I165" s="176"/>
      <c r="J165" s="177"/>
      <c r="K165" s="129"/>
      <c r="L165" s="178"/>
      <c r="M165" s="129"/>
      <c r="N165" s="178"/>
      <c r="O165" s="178"/>
      <c r="P165" s="129"/>
      <c r="Q165" s="179"/>
      <c r="R165" s="179"/>
      <c r="S165" s="179"/>
      <c r="T165" s="179"/>
      <c r="U165" s="179"/>
      <c r="V165" s="180"/>
      <c r="W165" s="180"/>
      <c r="X165" s="180"/>
      <c r="Y165" s="180"/>
      <c r="Z165" s="180"/>
      <c r="AA165" s="129"/>
    </row>
    <row r="166" spans="1:27" s="181" customFormat="1" ht="21" customHeight="1" x14ac:dyDescent="0.25">
      <c r="A166" s="412"/>
      <c r="B166" s="1"/>
      <c r="C166" s="174" t="str">
        <f>+'RVK SVÆDI'!C143</f>
        <v>Viðarhöfði AT2</v>
      </c>
      <c r="D166" s="175">
        <v>2</v>
      </c>
      <c r="E166" s="129" t="str">
        <f>+'RVK SVÆDI'!E143</f>
        <v>Ártúnshöfði</v>
      </c>
      <c r="F166" s="129" t="str">
        <f>+'RVK SVÆDI'!F143</f>
        <v>Ártúnshöfði</v>
      </c>
      <c r="G166" s="176"/>
      <c r="H166" s="176"/>
      <c r="I166" s="176"/>
      <c r="J166" s="177"/>
      <c r="K166" s="129"/>
      <c r="L166" s="178"/>
      <c r="M166" s="129"/>
      <c r="N166" s="178"/>
      <c r="O166" s="178"/>
      <c r="P166" s="129"/>
      <c r="Q166" s="179"/>
      <c r="R166" s="179"/>
      <c r="S166" s="179"/>
      <c r="T166" s="179"/>
      <c r="U166" s="179"/>
      <c r="V166" s="180"/>
      <c r="W166" s="180"/>
      <c r="X166" s="180"/>
      <c r="Y166" s="180"/>
      <c r="Z166" s="180"/>
      <c r="AA166" s="129"/>
    </row>
    <row r="167" spans="1:27" s="181" customFormat="1" ht="21" customHeight="1" x14ac:dyDescent="0.25">
      <c r="A167" s="412"/>
      <c r="B167" s="1"/>
      <c r="C167" s="174" t="str">
        <f>+'RVK SVÆDI'!C144</f>
        <v>Höfðar M4b afgangur</v>
      </c>
      <c r="D167" s="175">
        <v>5</v>
      </c>
      <c r="E167" s="129" t="str">
        <f>+'RVK SVÆDI'!E144</f>
        <v>Ártúnshöfði</v>
      </c>
      <c r="F167" s="129" t="str">
        <f>+'RVK SVÆDI'!F144</f>
        <v>Ártúnshöfði</v>
      </c>
      <c r="G167" s="176"/>
      <c r="H167" s="176"/>
      <c r="I167" s="176"/>
      <c r="J167" s="177"/>
      <c r="K167" s="129"/>
      <c r="L167" s="178"/>
      <c r="M167" s="129"/>
      <c r="N167" s="178"/>
      <c r="O167" s="178"/>
      <c r="P167" s="129"/>
      <c r="Q167" s="179"/>
      <c r="R167" s="179"/>
      <c r="S167" s="179"/>
      <c r="T167" s="179"/>
      <c r="U167" s="179"/>
      <c r="V167" s="180"/>
      <c r="W167" s="180"/>
      <c r="X167" s="180"/>
      <c r="Y167" s="180"/>
      <c r="Z167" s="180"/>
      <c r="AA167" s="129"/>
    </row>
    <row r="168" spans="1:27" s="7" customFormat="1" ht="21" customHeight="1" x14ac:dyDescent="0.25">
      <c r="A168" s="412"/>
      <c r="B168" s="1"/>
      <c r="C168" s="365" t="str">
        <f>+'RVK SVÆDI'!C145</f>
        <v>Hylir</v>
      </c>
      <c r="D168" s="8">
        <v>4</v>
      </c>
      <c r="E168" s="6" t="str">
        <f>+'RVK SVÆDI'!E145</f>
        <v>Árbær</v>
      </c>
      <c r="F168" s="6" t="str">
        <f>+'RVK SVÆDI'!F145</f>
        <v>Ártúnsskóli</v>
      </c>
      <c r="G168" s="112">
        <v>150</v>
      </c>
      <c r="H168" s="112">
        <v>0</v>
      </c>
      <c r="I168" s="112">
        <v>0</v>
      </c>
      <c r="J168" s="6">
        <f t="shared" si="89"/>
        <v>0</v>
      </c>
      <c r="K168" s="6"/>
      <c r="L168" s="112">
        <v>3</v>
      </c>
      <c r="M168" s="6">
        <f t="shared" si="97"/>
        <v>36</v>
      </c>
      <c r="N168" s="112">
        <v>84</v>
      </c>
      <c r="O168" s="112">
        <v>14</v>
      </c>
      <c r="P168" s="6">
        <f t="shared" si="83"/>
        <v>116</v>
      </c>
      <c r="Q168" s="113">
        <f t="shared" ref="Q168:U171" si="104">IFERROR(IF(AND((Q$238-$P168)/$M168&gt;0,(Q$238-$P168)/$M168&lt;1),(Q$238-$P168)/$M168,IF((Q$238-$P168)/$M168&gt;0,1,0)),0)</f>
        <v>0</v>
      </c>
      <c r="R168" s="113">
        <f t="shared" si="104"/>
        <v>0</v>
      </c>
      <c r="S168" s="113">
        <f t="shared" si="104"/>
        <v>0</v>
      </c>
      <c r="T168" s="113">
        <f t="shared" si="104"/>
        <v>0</v>
      </c>
      <c r="U168" s="113">
        <f t="shared" si="104"/>
        <v>0</v>
      </c>
      <c r="V168" s="114"/>
      <c r="W168" s="114"/>
      <c r="X168" s="114">
        <f t="shared" si="85"/>
        <v>0</v>
      </c>
      <c r="Y168" s="114">
        <f t="shared" si="86"/>
        <v>0</v>
      </c>
      <c r="Z168" s="114">
        <f t="shared" si="87"/>
        <v>0</v>
      </c>
      <c r="AA168" s="6"/>
    </row>
    <row r="169" spans="1:27" s="7" customFormat="1" ht="21" customHeight="1" x14ac:dyDescent="0.25">
      <c r="A169" s="412"/>
      <c r="B169" s="1"/>
      <c r="C169" s="365" t="str">
        <f>+'RVK SVÆDI'!C146</f>
        <v>Rafstöðvarvegur - Ártúnsholt - vestur</v>
      </c>
      <c r="D169" s="8">
        <v>5</v>
      </c>
      <c r="E169" s="6" t="str">
        <f>+'RVK SVÆDI'!E146</f>
        <v>Árbær</v>
      </c>
      <c r="F169" s="6" t="str">
        <f>+'RVK SVÆDI'!F146</f>
        <v>Ártúnsskóli</v>
      </c>
      <c r="G169" s="112">
        <v>20</v>
      </c>
      <c r="H169" s="112">
        <v>0</v>
      </c>
      <c r="I169" s="112">
        <v>0</v>
      </c>
      <c r="J169" s="6">
        <f t="shared" si="89"/>
        <v>0</v>
      </c>
      <c r="K169" s="6"/>
      <c r="L169" s="112">
        <v>0.5</v>
      </c>
      <c r="M169" s="6">
        <f t="shared" si="97"/>
        <v>6</v>
      </c>
      <c r="N169" s="112">
        <v>48</v>
      </c>
      <c r="O169" s="112">
        <v>14</v>
      </c>
      <c r="P169" s="6">
        <f t="shared" si="83"/>
        <v>80</v>
      </c>
      <c r="Q169" s="113">
        <f t="shared" si="104"/>
        <v>0</v>
      </c>
      <c r="R169" s="113">
        <f t="shared" si="104"/>
        <v>0</v>
      </c>
      <c r="S169" s="113">
        <f t="shared" si="104"/>
        <v>0</v>
      </c>
      <c r="T169" s="113">
        <f t="shared" si="104"/>
        <v>0</v>
      </c>
      <c r="U169" s="113">
        <f t="shared" si="104"/>
        <v>0</v>
      </c>
      <c r="V169" s="114"/>
      <c r="W169" s="114"/>
      <c r="X169" s="114">
        <f t="shared" si="85"/>
        <v>0</v>
      </c>
      <c r="Y169" s="114">
        <f t="shared" si="86"/>
        <v>0</v>
      </c>
      <c r="Z169" s="114">
        <f t="shared" si="87"/>
        <v>0</v>
      </c>
      <c r="AA169" s="6"/>
    </row>
    <row r="170" spans="1:27" s="7" customFormat="1" ht="21" customHeight="1" x14ac:dyDescent="0.25">
      <c r="A170" s="412"/>
      <c r="B170" s="1"/>
      <c r="C170" s="365" t="str">
        <f>+'RVK SVÆDI'!C147</f>
        <v>Rafstöðvarvegur - Ártúnsholt - austur</v>
      </c>
      <c r="D170" s="8">
        <v>5</v>
      </c>
      <c r="E170" s="6" t="str">
        <f>+'RVK SVÆDI'!E147</f>
        <v>Árbær</v>
      </c>
      <c r="F170" s="6" t="str">
        <f>+'RVK SVÆDI'!F147</f>
        <v>Ártúnsskóli</v>
      </c>
      <c r="G170" s="112">
        <v>50</v>
      </c>
      <c r="H170" s="112">
        <v>0</v>
      </c>
      <c r="I170" s="112">
        <v>0</v>
      </c>
      <c r="J170" s="6">
        <f t="shared" si="89"/>
        <v>0</v>
      </c>
      <c r="K170" s="6"/>
      <c r="L170" s="112">
        <v>1</v>
      </c>
      <c r="M170" s="6">
        <f t="shared" si="97"/>
        <v>12</v>
      </c>
      <c r="N170" s="112">
        <v>48</v>
      </c>
      <c r="O170" s="112">
        <v>14</v>
      </c>
      <c r="P170" s="6">
        <f t="shared" si="83"/>
        <v>80</v>
      </c>
      <c r="Q170" s="113">
        <f t="shared" si="104"/>
        <v>0</v>
      </c>
      <c r="R170" s="113">
        <f t="shared" si="104"/>
        <v>0</v>
      </c>
      <c r="S170" s="113">
        <f t="shared" si="104"/>
        <v>0</v>
      </c>
      <c r="T170" s="113">
        <f t="shared" si="104"/>
        <v>0</v>
      </c>
      <c r="U170" s="113">
        <f t="shared" si="104"/>
        <v>0</v>
      </c>
      <c r="V170" s="114"/>
      <c r="W170" s="114"/>
      <c r="X170" s="114">
        <f t="shared" si="85"/>
        <v>0</v>
      </c>
      <c r="Y170" s="114">
        <f t="shared" si="86"/>
        <v>0</v>
      </c>
      <c r="Z170" s="114">
        <f t="shared" si="87"/>
        <v>0</v>
      </c>
      <c r="AA170" s="6"/>
    </row>
    <row r="171" spans="1:27" s="7" customFormat="1" ht="21" customHeight="1" x14ac:dyDescent="0.25">
      <c r="A171" s="412"/>
      <c r="B171" s="1"/>
      <c r="C171" s="7" t="str">
        <f>+'RVK SVÆDI'!C148</f>
        <v>Árbær, nokkrir reitir- nýjar íbúðir, hverfisskipulag</v>
      </c>
      <c r="D171" s="8">
        <v>4</v>
      </c>
      <c r="E171" s="6" t="str">
        <f>+'RVK SVÆDI'!E148</f>
        <v>Árbær</v>
      </c>
      <c r="F171" s="6" t="str">
        <f>+'RVK SVÆDI'!F148</f>
        <v>Árbæjarskóli</v>
      </c>
      <c r="G171" s="112">
        <v>509</v>
      </c>
      <c r="H171" s="112">
        <v>0</v>
      </c>
      <c r="I171" s="112">
        <v>0</v>
      </c>
      <c r="J171" s="6">
        <f>+IF(D171=1,(G171-H171-I171),IF(D171=2,(G171-H171-I171),0))</f>
        <v>0</v>
      </c>
      <c r="K171" s="6"/>
      <c r="L171" s="112">
        <v>20</v>
      </c>
      <c r="M171" s="6">
        <f t="shared" si="97"/>
        <v>240</v>
      </c>
      <c r="N171" s="112">
        <v>3</v>
      </c>
      <c r="O171" s="112">
        <v>14</v>
      </c>
      <c r="P171" s="6">
        <f t="shared" si="83"/>
        <v>35</v>
      </c>
      <c r="Q171" s="113">
        <f t="shared" si="104"/>
        <v>0</v>
      </c>
      <c r="R171" s="113">
        <f t="shared" si="104"/>
        <v>0</v>
      </c>
      <c r="S171" s="113">
        <f t="shared" si="104"/>
        <v>0</v>
      </c>
      <c r="T171" s="113">
        <f t="shared" si="104"/>
        <v>2.9166666666666667E-2</v>
      </c>
      <c r="U171" s="113">
        <f t="shared" si="104"/>
        <v>7.9166666666666663E-2</v>
      </c>
      <c r="V171" s="114"/>
      <c r="W171" s="114"/>
      <c r="X171" s="114">
        <f t="shared" si="85"/>
        <v>0</v>
      </c>
      <c r="Y171" s="114">
        <f t="shared" si="86"/>
        <v>14.845833333333333</v>
      </c>
      <c r="Z171" s="114">
        <f t="shared" si="87"/>
        <v>25.450000000000003</v>
      </c>
      <c r="AA171" s="6"/>
    </row>
    <row r="172" spans="1:27" s="7" customFormat="1" ht="21" customHeight="1" x14ac:dyDescent="0.25">
      <c r="A172" s="365"/>
      <c r="B172" s="1"/>
      <c r="C172" s="7" t="str">
        <f>+'RVK SVÆDI'!C149</f>
        <v>Rofabær 7-9</v>
      </c>
      <c r="D172" s="8">
        <v>1</v>
      </c>
      <c r="E172" s="6" t="str">
        <f>+'RVK SVÆDI'!E149</f>
        <v>Árbær</v>
      </c>
      <c r="F172" s="6" t="str">
        <f>+'RVK SVÆDI'!F149</f>
        <v>Árbæjarskóli</v>
      </c>
      <c r="G172" s="112">
        <v>31</v>
      </c>
      <c r="H172" s="112">
        <v>0</v>
      </c>
      <c r="I172" s="112">
        <v>31</v>
      </c>
      <c r="J172" s="6">
        <f t="shared" ref="J172" si="105">+IF(D172=1,(G172-H172-I172),IF(D172=2,(G172-H172-I172),0))</f>
        <v>0</v>
      </c>
      <c r="K172" s="6"/>
      <c r="L172" s="110" t="s">
        <v>306</v>
      </c>
      <c r="M172" s="111"/>
      <c r="N172" s="111"/>
      <c r="O172" s="111"/>
      <c r="P172" s="111"/>
      <c r="Q172" s="111"/>
      <c r="R172" s="111"/>
      <c r="S172" s="111"/>
      <c r="T172" s="111"/>
      <c r="U172" s="111"/>
      <c r="V172" s="112"/>
      <c r="W172" s="112"/>
      <c r="X172" s="112">
        <v>31</v>
      </c>
      <c r="Y172" s="112">
        <v>0</v>
      </c>
      <c r="Z172" s="112">
        <v>0</v>
      </c>
      <c r="AA172" s="6"/>
    </row>
    <row r="173" spans="1:27" s="181" customFormat="1" ht="21" customHeight="1" x14ac:dyDescent="0.25">
      <c r="A173" s="412"/>
      <c r="B173" s="1"/>
      <c r="C173" s="174" t="str">
        <f>+'RVK SVÆDI'!C150</f>
        <v>Hraunbær 103-105</v>
      </c>
      <c r="D173" s="175">
        <v>1</v>
      </c>
      <c r="E173" s="129" t="str">
        <f>+'RVK SVÆDI'!E150</f>
        <v>Árbær</v>
      </c>
      <c r="F173" s="129" t="str">
        <f>+'RVK SVÆDI'!F150</f>
        <v>Árbæjarskóli</v>
      </c>
      <c r="G173" s="176">
        <v>60</v>
      </c>
      <c r="H173" s="176">
        <v>60</v>
      </c>
      <c r="I173" s="176">
        <f t="shared" ref="I173:I201" si="106">+G173-H173</f>
        <v>0</v>
      </c>
      <c r="J173" s="177">
        <f t="shared" si="89"/>
        <v>0</v>
      </c>
      <c r="K173" s="129"/>
      <c r="L173" s="178"/>
      <c r="M173" s="129"/>
      <c r="N173" s="178"/>
      <c r="O173" s="178"/>
      <c r="P173" s="129"/>
      <c r="Q173" s="179"/>
      <c r="R173" s="179"/>
      <c r="S173" s="179"/>
      <c r="T173" s="179"/>
      <c r="U173" s="179"/>
      <c r="V173" s="180"/>
      <c r="W173" s="180"/>
      <c r="X173" s="180">
        <v>0</v>
      </c>
      <c r="Y173" s="180">
        <v>0</v>
      </c>
      <c r="Z173" s="180">
        <v>0</v>
      </c>
      <c r="AA173" s="129"/>
    </row>
    <row r="174" spans="1:27" s="7" customFormat="1" ht="21" customHeight="1" x14ac:dyDescent="0.25">
      <c r="A174" s="412"/>
      <c r="B174" s="1"/>
      <c r="C174" s="7" t="str">
        <f>+'RVK SVÆDI'!C151</f>
        <v>Hraunbær-Bæjarháls-austur</v>
      </c>
      <c r="D174" s="8">
        <v>1</v>
      </c>
      <c r="E174" s="6" t="str">
        <f>+'RVK SVÆDI'!E151</f>
        <v>Árbær</v>
      </c>
      <c r="F174" s="6" t="str">
        <f>+'RVK SVÆDI'!F151</f>
        <v>Árbæjarskóli</v>
      </c>
      <c r="G174" s="112">
        <v>99</v>
      </c>
      <c r="H174" s="375">
        <v>99</v>
      </c>
      <c r="I174" s="112">
        <f t="shared" si="106"/>
        <v>0</v>
      </c>
      <c r="J174" s="6">
        <f t="shared" si="89"/>
        <v>0</v>
      </c>
      <c r="K174" s="6"/>
      <c r="L174" s="110" t="s">
        <v>306</v>
      </c>
      <c r="M174" s="111"/>
      <c r="N174" s="111"/>
      <c r="O174" s="111"/>
      <c r="P174" s="111"/>
      <c r="Q174" s="111"/>
      <c r="R174" s="111"/>
      <c r="S174" s="111"/>
      <c r="T174" s="111"/>
      <c r="U174" s="111"/>
      <c r="V174" s="112"/>
      <c r="W174" s="112"/>
      <c r="X174" s="112">
        <v>20</v>
      </c>
      <c r="Y174" s="112">
        <v>0</v>
      </c>
      <c r="Z174" s="112">
        <v>0</v>
      </c>
      <c r="AA174" s="6"/>
    </row>
    <row r="175" spans="1:27" s="7" customFormat="1" ht="21" customHeight="1" x14ac:dyDescent="0.25">
      <c r="A175" s="412"/>
      <c r="B175" s="1"/>
      <c r="C175" s="7" t="str">
        <f>+'RVK SVÆDI'!C152</f>
        <v>Hraunbær-Bæjarháls-vestur</v>
      </c>
      <c r="D175" s="374">
        <v>1</v>
      </c>
      <c r="E175" s="6" t="str">
        <f>+'RVK SVÆDI'!E152</f>
        <v>Árbær</v>
      </c>
      <c r="F175" s="6" t="str">
        <f>+'RVK SVÆDI'!F152</f>
        <v>Árbæjarskóli</v>
      </c>
      <c r="G175" s="112">
        <v>116</v>
      </c>
      <c r="H175" s="375">
        <v>50</v>
      </c>
      <c r="I175" s="375">
        <v>66</v>
      </c>
      <c r="J175" s="6">
        <f t="shared" si="89"/>
        <v>0</v>
      </c>
      <c r="K175" s="6"/>
      <c r="L175" s="110" t="s">
        <v>306</v>
      </c>
      <c r="M175" s="111"/>
      <c r="N175" s="111"/>
      <c r="O175" s="111"/>
      <c r="P175" s="111"/>
      <c r="Q175" s="111"/>
      <c r="R175" s="111"/>
      <c r="S175" s="111"/>
      <c r="T175" s="111"/>
      <c r="U175" s="111"/>
      <c r="V175" s="112"/>
      <c r="W175" s="112"/>
      <c r="X175" s="375">
        <v>50</v>
      </c>
      <c r="Y175" s="375">
        <v>66</v>
      </c>
      <c r="Z175" s="112">
        <v>0</v>
      </c>
      <c r="AA175" s="6"/>
    </row>
    <row r="176" spans="1:27" s="7" customFormat="1" ht="21" customHeight="1" x14ac:dyDescent="0.25">
      <c r="A176" s="412"/>
      <c r="B176" s="1"/>
      <c r="C176" s="7" t="str">
        <f>+'RVK SVÆDI'!C153</f>
        <v>Brekknaás-Vindás</v>
      </c>
      <c r="D176" s="374">
        <v>2</v>
      </c>
      <c r="E176" s="6" t="str">
        <f>+'RVK SVÆDI'!E153</f>
        <v>Árbær</v>
      </c>
      <c r="F176" s="6" t="str">
        <f>+'RVK SVÆDI'!F153</f>
        <v>Selásskóli</v>
      </c>
      <c r="G176" s="112">
        <v>66</v>
      </c>
      <c r="H176" s="112">
        <v>0</v>
      </c>
      <c r="I176" s="112">
        <v>0</v>
      </c>
      <c r="J176" s="6">
        <f t="shared" si="89"/>
        <v>66</v>
      </c>
      <c r="K176" s="6"/>
      <c r="L176" s="112">
        <v>1.85</v>
      </c>
      <c r="M176" s="6">
        <f t="shared" si="97"/>
        <v>22.200000000000003</v>
      </c>
      <c r="N176" s="112">
        <v>12</v>
      </c>
      <c r="O176" s="112">
        <v>14</v>
      </c>
      <c r="P176" s="6">
        <f t="shared" ref="P176" si="107">+N176+O176+18</f>
        <v>44</v>
      </c>
      <c r="Q176" s="113">
        <f>IFERROR(IF(AND((Q$238-$P176)/$M176&gt;0,(Q$238-$P176)/$M176&lt;1),(Q$238-$P176)/$M176,IF((Q$238-$P176)/$M176&gt;0,1,0)),0)</f>
        <v>0</v>
      </c>
      <c r="R176" s="113">
        <f>IFERROR(IF(AND((R$238-$P176)/$M176&gt;0,(R$238-$P176)/$M176&lt;1),(R$238-$P176)/$M176,IF((R$238-$P176)/$M176&gt;0,1,0)),0)</f>
        <v>0</v>
      </c>
      <c r="S176" s="113">
        <f>IFERROR(IF(AND((S$238-$P176)/$M176&gt;0,(S$238-$P176)/$M176&lt;1),(S$238-$P176)/$M176,IF((S$238-$P176)/$M176&gt;0,1,0)),0)</f>
        <v>0</v>
      </c>
      <c r="T176" s="113">
        <f>IFERROR(IF(AND((T$238-$P176)/$M176&gt;0,(T$238-$P176)/$M176&lt;1),(T$238-$P176)/$M176,IF((T$238-$P176)/$M176&gt;0,1,0)),0)</f>
        <v>0</v>
      </c>
      <c r="U176" s="113">
        <f>IFERROR(IF(AND((U$238-$P176)/$M176&gt;0,(U$238-$P176)/$M176&lt;1),(U$238-$P176)/$M176,IF((U$238-$P176)/$M176&gt;0,1,0)),0)</f>
        <v>0.4504504504504504</v>
      </c>
      <c r="V176" s="114"/>
      <c r="W176" s="114"/>
      <c r="X176" s="114">
        <f t="shared" si="85"/>
        <v>0</v>
      </c>
      <c r="Y176" s="114">
        <f t="shared" si="86"/>
        <v>0</v>
      </c>
      <c r="Z176" s="377">
        <f t="shared" si="87"/>
        <v>29.729729729729726</v>
      </c>
      <c r="AA176" s="6"/>
    </row>
    <row r="177" spans="1:28" s="7" customFormat="1" ht="21" customHeight="1" x14ac:dyDescent="0.25">
      <c r="A177" s="412"/>
      <c r="B177" s="1"/>
      <c r="C177" s="7" t="str">
        <f>+'RVK SVÆDI'!C154</f>
        <v>Norðlingaholt- Elliðabraut</v>
      </c>
      <c r="D177" s="8">
        <v>1</v>
      </c>
      <c r="E177" s="6" t="str">
        <f>+'RVK SVÆDI'!E154</f>
        <v>Árbær</v>
      </c>
      <c r="F177" s="6" t="str">
        <f>+'RVK SVÆDI'!F154</f>
        <v>Norðlingaskóli</v>
      </c>
      <c r="G177" s="112">
        <v>250</v>
      </c>
      <c r="H177" s="112">
        <v>250</v>
      </c>
      <c r="I177" s="112">
        <v>0</v>
      </c>
      <c r="J177" s="6">
        <f t="shared" si="89"/>
        <v>0</v>
      </c>
      <c r="K177" s="6"/>
      <c r="L177" s="110" t="s">
        <v>306</v>
      </c>
      <c r="M177" s="111"/>
      <c r="N177" s="111"/>
      <c r="O177" s="111"/>
      <c r="P177" s="111"/>
      <c r="Q177" s="111"/>
      <c r="R177" s="111"/>
      <c r="S177" s="111"/>
      <c r="T177" s="111"/>
      <c r="U177" s="111"/>
      <c r="V177" s="112"/>
      <c r="W177" s="112"/>
      <c r="X177" s="112">
        <v>83</v>
      </c>
      <c r="Y177" s="112">
        <v>0</v>
      </c>
      <c r="Z177" s="112">
        <v>0</v>
      </c>
      <c r="AA177" s="6"/>
    </row>
    <row r="178" spans="1:28" s="7" customFormat="1" ht="21" customHeight="1" x14ac:dyDescent="0.25">
      <c r="A178" s="412"/>
      <c r="B178" s="1"/>
      <c r="C178" s="365" t="str">
        <f>+'RVK SVÆDI'!C155</f>
        <v>Hraunbær 102(B)</v>
      </c>
      <c r="D178" s="8">
        <v>5</v>
      </c>
      <c r="E178" s="6" t="str">
        <f>+'RVK SVÆDI'!E155</f>
        <v>Árbær</v>
      </c>
      <c r="F178" s="6" t="str">
        <f>+'RVK SVÆDI'!F155</f>
        <v>Árbæjarskóli</v>
      </c>
      <c r="G178" s="112">
        <v>20</v>
      </c>
      <c r="H178" s="112">
        <v>0</v>
      </c>
      <c r="I178" s="112">
        <v>0</v>
      </c>
      <c r="J178" s="6">
        <f t="shared" si="89"/>
        <v>0</v>
      </c>
      <c r="K178" s="6"/>
      <c r="L178" s="112">
        <v>0.5</v>
      </c>
      <c r="M178" s="6">
        <f t="shared" si="97"/>
        <v>6</v>
      </c>
      <c r="N178" s="112">
        <v>48</v>
      </c>
      <c r="O178" s="112">
        <v>14</v>
      </c>
      <c r="P178" s="6">
        <f t="shared" si="83"/>
        <v>80</v>
      </c>
      <c r="Q178" s="113">
        <f>IFERROR(IF(AND((Q$238-$P178)/$M178&gt;0,(Q$238-$P178)/$M178&lt;1),(Q$238-$P178)/$M178,IF((Q$238-$P178)/$M178&gt;0,1,0)),0)</f>
        <v>0</v>
      </c>
      <c r="R178" s="113">
        <f>IFERROR(IF(AND((R$238-$P178)/$M178&gt;0,(R$238-$P178)/$M178&lt;1),(R$238-$P178)/$M178,IF((R$238-$P178)/$M178&gt;0,1,0)),0)</f>
        <v>0</v>
      </c>
      <c r="S178" s="113">
        <f>IFERROR(IF(AND((S$238-$P178)/$M178&gt;0,(S$238-$P178)/$M178&lt;1),(S$238-$P178)/$M178,IF((S$238-$P178)/$M178&gt;0,1,0)),0)</f>
        <v>0</v>
      </c>
      <c r="T178" s="113">
        <f>IFERROR(IF(AND((T$238-$P178)/$M178&gt;0,(T$238-$P178)/$M178&lt;1),(T$238-$P178)/$M178,IF((T$238-$P178)/$M178&gt;0,1,0)),0)</f>
        <v>0</v>
      </c>
      <c r="U178" s="113">
        <f>IFERROR(IF(AND((U$238-$P178)/$M178&gt;0,(U$238-$P178)/$M178&lt;1),(U$238-$P178)/$M178,IF((U$238-$P178)/$M178&gt;0,1,0)),0)</f>
        <v>0</v>
      </c>
      <c r="V178" s="114"/>
      <c r="W178" s="114"/>
      <c r="X178" s="114">
        <f t="shared" si="85"/>
        <v>0</v>
      </c>
      <c r="Y178" s="114">
        <f t="shared" si="86"/>
        <v>0</v>
      </c>
      <c r="Z178" s="114">
        <f t="shared" si="87"/>
        <v>0</v>
      </c>
      <c r="AA178" s="6"/>
    </row>
    <row r="179" spans="1:28" s="181" customFormat="1" ht="21" customHeight="1" x14ac:dyDescent="0.25">
      <c r="A179" s="412"/>
      <c r="B179" s="1"/>
      <c r="C179" s="174" t="str">
        <f>+'RVK SVÆDI'!C156</f>
        <v>Norðlingabraut</v>
      </c>
      <c r="D179" s="175">
        <v>2</v>
      </c>
      <c r="E179" s="129" t="str">
        <f>+'RVK SVÆDI'!E156</f>
        <v>Árbær</v>
      </c>
      <c r="F179" s="129" t="str">
        <f>+'RVK SVÆDI'!F156</f>
        <v>Árbæjarskóli</v>
      </c>
      <c r="G179" s="176"/>
      <c r="H179" s="176"/>
      <c r="I179" s="176"/>
      <c r="J179" s="177"/>
      <c r="K179" s="129"/>
      <c r="L179" s="178"/>
      <c r="M179" s="129"/>
      <c r="N179" s="178"/>
      <c r="O179" s="178"/>
      <c r="P179" s="129"/>
      <c r="Q179" s="179"/>
      <c r="R179" s="179"/>
      <c r="S179" s="179"/>
      <c r="T179" s="179"/>
      <c r="U179" s="179"/>
      <c r="V179" s="180"/>
      <c r="W179" s="180"/>
      <c r="X179" s="180"/>
      <c r="Y179" s="180"/>
      <c r="Z179" s="180"/>
      <c r="AA179" s="129"/>
    </row>
    <row r="180" spans="1:28" s="181" customFormat="1" ht="21" customHeight="1" x14ac:dyDescent="0.25">
      <c r="A180" s="412"/>
      <c r="B180" s="1"/>
      <c r="C180" s="174" t="str">
        <f>+'RVK SVÆDI'!C157</f>
        <v>Hálsar AT2 samþykktar heimildir</v>
      </c>
      <c r="D180" s="175">
        <v>2</v>
      </c>
      <c r="E180" s="129" t="str">
        <f>+'RVK SVÆDI'!E157</f>
        <v>Árbær</v>
      </c>
      <c r="F180" s="129" t="str">
        <f>+'RVK SVÆDI'!F157</f>
        <v>Árbæjarskóli</v>
      </c>
      <c r="G180" s="176"/>
      <c r="H180" s="176"/>
      <c r="I180" s="176"/>
      <c r="J180" s="177"/>
      <c r="K180" s="129"/>
      <c r="L180" s="178"/>
      <c r="M180" s="129"/>
      <c r="N180" s="178"/>
      <c r="O180" s="178"/>
      <c r="P180" s="129"/>
      <c r="Q180" s="179"/>
      <c r="R180" s="179"/>
      <c r="S180" s="179"/>
      <c r="T180" s="179"/>
      <c r="U180" s="179"/>
      <c r="V180" s="180"/>
      <c r="W180" s="180"/>
      <c r="X180" s="180"/>
      <c r="Y180" s="180"/>
      <c r="Z180" s="180"/>
      <c r="AA180" s="129"/>
    </row>
    <row r="181" spans="1:28" s="181" customFormat="1" ht="21" customHeight="1" x14ac:dyDescent="0.25">
      <c r="A181" s="412"/>
      <c r="B181" s="1"/>
      <c r="C181" s="174" t="str">
        <f>+'RVK SVÆDI'!C158</f>
        <v>Hálsar AT2 áætluð möguleg viðbót með br. á DSK</v>
      </c>
      <c r="D181" s="175">
        <v>3</v>
      </c>
      <c r="E181" s="129" t="str">
        <f>+'RVK SVÆDI'!E158</f>
        <v>Árbær</v>
      </c>
      <c r="F181" s="129" t="str">
        <f>+'RVK SVÆDI'!F158</f>
        <v>Árbæjarskóli</v>
      </c>
      <c r="G181" s="176"/>
      <c r="H181" s="176"/>
      <c r="I181" s="176"/>
      <c r="J181" s="177"/>
      <c r="K181" s="129"/>
      <c r="L181" s="178"/>
      <c r="M181" s="129"/>
      <c r="N181" s="178"/>
      <c r="O181" s="178"/>
      <c r="P181" s="129"/>
      <c r="Q181" s="179"/>
      <c r="R181" s="179"/>
      <c r="S181" s="179"/>
      <c r="T181" s="179"/>
      <c r="U181" s="179"/>
      <c r="V181" s="180"/>
      <c r="W181" s="180"/>
      <c r="X181" s="180"/>
      <c r="Y181" s="180"/>
      <c r="Z181" s="180"/>
      <c r="AA181" s="129"/>
    </row>
    <row r="182" spans="1:28" s="181" customFormat="1" ht="21" customHeight="1" x14ac:dyDescent="0.25">
      <c r="A182" s="412"/>
      <c r="B182" s="1"/>
      <c r="C182" s="174" t="str">
        <f>+'RVK SVÆDI'!C159</f>
        <v>Suður-Mjódd atvinnulóðir</v>
      </c>
      <c r="D182" s="175">
        <v>2</v>
      </c>
      <c r="E182" s="129" t="str">
        <f>+'RVK SVÆDI'!E159</f>
        <v>Árbær</v>
      </c>
      <c r="F182" s="129" t="str">
        <f>+'RVK SVÆDI'!F159</f>
        <v>Árbæjarskóli</v>
      </c>
      <c r="G182" s="176"/>
      <c r="H182" s="176"/>
      <c r="I182" s="176"/>
      <c r="J182" s="177"/>
      <c r="K182" s="129"/>
      <c r="L182" s="178"/>
      <c r="M182" s="129"/>
      <c r="N182" s="178"/>
      <c r="O182" s="178"/>
      <c r="P182" s="129"/>
      <c r="Q182" s="179"/>
      <c r="R182" s="179"/>
      <c r="S182" s="179"/>
      <c r="T182" s="179"/>
      <c r="U182" s="179"/>
      <c r="V182" s="180"/>
      <c r="W182" s="180"/>
      <c r="X182" s="180"/>
      <c r="Y182" s="180"/>
      <c r="Z182" s="180"/>
      <c r="AA182" s="129"/>
    </row>
    <row r="183" spans="1:28" s="181" customFormat="1" ht="21" customHeight="1" x14ac:dyDescent="0.25">
      <c r="A183" s="412"/>
      <c r="B183" s="1"/>
      <c r="C183" s="174" t="str">
        <f>+'RVK SVÆDI'!C160</f>
        <v>Jaðarsel ný slökkvistöð</v>
      </c>
      <c r="D183" s="175">
        <v>3</v>
      </c>
      <c r="E183" s="129" t="str">
        <f>+'RVK SVÆDI'!E160</f>
        <v>Árbær</v>
      </c>
      <c r="F183" s="129" t="str">
        <f>+'RVK SVÆDI'!F160</f>
        <v>Árbæjarskóli</v>
      </c>
      <c r="G183" s="176"/>
      <c r="H183" s="176"/>
      <c r="I183" s="176"/>
      <c r="J183" s="177"/>
      <c r="K183" s="129"/>
      <c r="L183" s="178"/>
      <c r="M183" s="129"/>
      <c r="N183" s="178"/>
      <c r="O183" s="178"/>
      <c r="P183" s="129"/>
      <c r="Q183" s="179"/>
      <c r="R183" s="179"/>
      <c r="S183" s="179"/>
      <c r="T183" s="179"/>
      <c r="U183" s="179"/>
      <c r="V183" s="180"/>
      <c r="W183" s="180"/>
      <c r="X183" s="180"/>
      <c r="Y183" s="180"/>
      <c r="Z183" s="180"/>
      <c r="AA183" s="129"/>
    </row>
    <row r="184" spans="1:28" s="7" customFormat="1" ht="21" customHeight="1" x14ac:dyDescent="0.25">
      <c r="A184" s="412"/>
      <c r="B184" s="1"/>
      <c r="C184" s="365" t="str">
        <f>+'RVK SVÆDI'!C161</f>
        <v>Mjódd-Norður-Mjódd</v>
      </c>
      <c r="D184" s="374">
        <v>3</v>
      </c>
      <c r="E184" s="6" t="str">
        <f>+'RVK SVÆDI'!E161</f>
        <v>Breiðholt</v>
      </c>
      <c r="F184" s="6" t="str">
        <f>+'RVK SVÆDI'!F161</f>
        <v>Breiðholtsskóli</v>
      </c>
      <c r="G184" s="112">
        <v>800</v>
      </c>
      <c r="H184" s="112">
        <v>0</v>
      </c>
      <c r="I184" s="112">
        <v>0</v>
      </c>
      <c r="J184" s="6">
        <f t="shared" si="89"/>
        <v>0</v>
      </c>
      <c r="K184" s="6"/>
      <c r="L184" s="112">
        <v>8</v>
      </c>
      <c r="M184" s="6">
        <f t="shared" si="97"/>
        <v>96</v>
      </c>
      <c r="N184" s="112">
        <v>36</v>
      </c>
      <c r="O184" s="112">
        <v>14</v>
      </c>
      <c r="P184" s="6">
        <f t="shared" ref="P184" si="108">+N184+O184+18</f>
        <v>68</v>
      </c>
      <c r="Q184" s="113">
        <f t="shared" ref="Q184:U185" si="109">IFERROR(IF(AND((Q$238-$P184)/$M184&gt;0,(Q$238-$P184)/$M184&lt;1),(Q$238-$P184)/$M184,IF((Q$238-$P184)/$M184&gt;0,1,0)),0)</f>
        <v>0</v>
      </c>
      <c r="R184" s="113">
        <f t="shared" si="109"/>
        <v>0</v>
      </c>
      <c r="S184" s="113">
        <f t="shared" si="109"/>
        <v>0</v>
      </c>
      <c r="T184" s="113">
        <f t="shared" si="109"/>
        <v>0</v>
      </c>
      <c r="U184" s="113">
        <f t="shared" si="109"/>
        <v>0</v>
      </c>
      <c r="V184" s="114"/>
      <c r="W184" s="114"/>
      <c r="X184" s="114">
        <f t="shared" si="85"/>
        <v>0</v>
      </c>
      <c r="Y184" s="114">
        <f t="shared" si="86"/>
        <v>0</v>
      </c>
      <c r="Z184" s="114">
        <f t="shared" si="87"/>
        <v>0</v>
      </c>
      <c r="AA184" s="381">
        <v>400</v>
      </c>
      <c r="AB184" s="383" t="s">
        <v>528</v>
      </c>
    </row>
    <row r="185" spans="1:28" s="7" customFormat="1" ht="21" customHeight="1" x14ac:dyDescent="0.25">
      <c r="A185" s="412"/>
      <c r="B185" s="1"/>
      <c r="C185" s="7" t="str">
        <f>+'RVK SVÆDI'!C162</f>
        <v>Suður-Mjódd- Skógarsel 10 (B)</v>
      </c>
      <c r="D185" s="374">
        <v>4</v>
      </c>
      <c r="E185" s="6" t="str">
        <f>+'RVK SVÆDI'!E162</f>
        <v>Breiðholt</v>
      </c>
      <c r="F185" s="6" t="str">
        <f>+'RVK SVÆDI'!F162</f>
        <v>Ölduselsskóli</v>
      </c>
      <c r="G185" s="112">
        <f>130-G186</f>
        <v>58</v>
      </c>
      <c r="H185" s="112">
        <v>0</v>
      </c>
      <c r="I185" s="112">
        <v>0</v>
      </c>
      <c r="J185" s="6">
        <f t="shared" si="89"/>
        <v>0</v>
      </c>
      <c r="K185" s="6"/>
      <c r="L185" s="112">
        <v>1</v>
      </c>
      <c r="M185" s="6">
        <f t="shared" si="97"/>
        <v>12</v>
      </c>
      <c r="N185" s="112">
        <v>10</v>
      </c>
      <c r="O185" s="112">
        <v>14</v>
      </c>
      <c r="P185" s="6">
        <f t="shared" si="83"/>
        <v>42</v>
      </c>
      <c r="Q185" s="113">
        <f t="shared" si="109"/>
        <v>0</v>
      </c>
      <c r="R185" s="113">
        <f t="shared" si="109"/>
        <v>0</v>
      </c>
      <c r="S185" s="113">
        <f t="shared" si="109"/>
        <v>0</v>
      </c>
      <c r="T185" s="113">
        <f t="shared" si="109"/>
        <v>0</v>
      </c>
      <c r="U185" s="113">
        <f t="shared" si="109"/>
        <v>1</v>
      </c>
      <c r="V185" s="114"/>
      <c r="W185" s="114"/>
      <c r="X185" s="114">
        <f t="shared" si="85"/>
        <v>0</v>
      </c>
      <c r="Y185" s="114">
        <f t="shared" si="86"/>
        <v>0</v>
      </c>
      <c r="Z185" s="114">
        <f t="shared" si="87"/>
        <v>58</v>
      </c>
      <c r="AA185" s="6"/>
    </row>
    <row r="186" spans="1:28" s="181" customFormat="1" ht="21" customHeight="1" x14ac:dyDescent="0.25">
      <c r="A186" s="412"/>
      <c r="B186" s="1"/>
      <c r="C186" s="174" t="str">
        <f>+'RVK SVÆDI'!C163</f>
        <v>Suður-Mjódd- Árskógar 5-7</v>
      </c>
      <c r="D186" s="175">
        <v>1</v>
      </c>
      <c r="E186" s="129" t="str">
        <f>+'RVK SVÆDI'!E163</f>
        <v>Breiðholt</v>
      </c>
      <c r="F186" s="129" t="str">
        <f>+'RVK SVÆDI'!F163</f>
        <v>Ölduselsskóli</v>
      </c>
      <c r="G186" s="176">
        <v>72</v>
      </c>
      <c r="H186" s="176">
        <v>72</v>
      </c>
      <c r="I186" s="176">
        <f t="shared" si="106"/>
        <v>0</v>
      </c>
      <c r="J186" s="177">
        <f t="shared" si="89"/>
        <v>0</v>
      </c>
      <c r="K186" s="129"/>
      <c r="L186" s="178"/>
      <c r="M186" s="129"/>
      <c r="N186" s="178"/>
      <c r="O186" s="178"/>
      <c r="P186" s="129"/>
      <c r="Q186" s="179"/>
      <c r="R186" s="179"/>
      <c r="S186" s="179"/>
      <c r="T186" s="179"/>
      <c r="U186" s="179"/>
      <c r="V186" s="180"/>
      <c r="W186" s="180"/>
      <c r="X186" s="180">
        <v>0</v>
      </c>
      <c r="Y186" s="180">
        <v>0</v>
      </c>
      <c r="Z186" s="180">
        <v>0</v>
      </c>
      <c r="AA186" s="129"/>
    </row>
    <row r="187" spans="1:28" s="7" customFormat="1" ht="21" customHeight="1" x14ac:dyDescent="0.25">
      <c r="A187" s="412"/>
      <c r="B187" s="1"/>
      <c r="C187" s="7" t="str">
        <f>+'RVK SVÆDI'!C164</f>
        <v>Arnarbakki</v>
      </c>
      <c r="D187" s="374">
        <v>2</v>
      </c>
      <c r="E187" s="6" t="str">
        <f>+'RVK SVÆDI'!E164</f>
        <v>Breiðholt</v>
      </c>
      <c r="F187" s="6" t="str">
        <f>+'RVK SVÆDI'!F164</f>
        <v>Breiðholtsskóli</v>
      </c>
      <c r="G187" s="375">
        <v>90</v>
      </c>
      <c r="H187" s="112">
        <v>0</v>
      </c>
      <c r="I187" s="112">
        <v>0</v>
      </c>
      <c r="J187" s="6">
        <f>+IF(D187=1,(G187-H187-I187),IF(D187=2,(G187-H187-I187),0))</f>
        <v>90</v>
      </c>
      <c r="K187" s="6"/>
      <c r="L187" s="375">
        <v>1.5</v>
      </c>
      <c r="M187" s="6">
        <f t="shared" si="97"/>
        <v>18</v>
      </c>
      <c r="N187" s="375">
        <v>17</v>
      </c>
      <c r="O187" s="112">
        <v>14</v>
      </c>
      <c r="P187" s="6">
        <f t="shared" ref="P187:P193" si="110">+N187+O187+18</f>
        <v>49</v>
      </c>
      <c r="Q187" s="113">
        <f t="shared" ref="Q187:U190" si="111">IFERROR(IF(AND((Q$238-$P187)/$M187&gt;0,(Q$238-$P187)/$M187&lt;1),(Q$238-$P187)/$M187,IF((Q$238-$P187)/$M187&gt;0,1,0)),0)</f>
        <v>0</v>
      </c>
      <c r="R187" s="113">
        <f t="shared" si="111"/>
        <v>0</v>
      </c>
      <c r="S187" s="113">
        <f t="shared" si="111"/>
        <v>0</v>
      </c>
      <c r="T187" s="113">
        <f t="shared" si="111"/>
        <v>0</v>
      </c>
      <c r="U187" s="113">
        <f t="shared" si="111"/>
        <v>0.27777777777777779</v>
      </c>
      <c r="V187" s="114"/>
      <c r="W187" s="114"/>
      <c r="X187" s="114">
        <f t="shared" si="85"/>
        <v>0</v>
      </c>
      <c r="Y187" s="114">
        <f t="shared" si="86"/>
        <v>0</v>
      </c>
      <c r="Z187" s="377">
        <f t="shared" si="87"/>
        <v>25</v>
      </c>
      <c r="AA187" s="6"/>
    </row>
    <row r="188" spans="1:28" s="7" customFormat="1" ht="21" customHeight="1" x14ac:dyDescent="0.25">
      <c r="A188" s="412"/>
      <c r="B188" s="1"/>
      <c r="C188" s="7" t="str">
        <f>+'RVK SVÆDI'!C165</f>
        <v>Völvufell - Eddufell</v>
      </c>
      <c r="D188" s="374">
        <v>2</v>
      </c>
      <c r="E188" s="6" t="str">
        <f>+'RVK SVÆDI'!E165</f>
        <v>Breiðholt</v>
      </c>
      <c r="F188" s="6" t="str">
        <f>+'RVK SVÆDI'!F165</f>
        <v>Fellaskóli</v>
      </c>
      <c r="G188" s="375">
        <v>129</v>
      </c>
      <c r="H188" s="112">
        <v>0</v>
      </c>
      <c r="I188" s="112">
        <v>0</v>
      </c>
      <c r="J188" s="6">
        <f>+IF(D188=1,(G188-H188-I188),IF(D188=2,(G188-H188-I188),0))</f>
        <v>129</v>
      </c>
      <c r="K188" s="6"/>
      <c r="L188" s="375">
        <v>1.5</v>
      </c>
      <c r="M188" s="6">
        <f t="shared" si="97"/>
        <v>18</v>
      </c>
      <c r="N188" s="375">
        <v>17</v>
      </c>
      <c r="O188" s="112">
        <v>14</v>
      </c>
      <c r="P188" s="6">
        <f t="shared" si="110"/>
        <v>49</v>
      </c>
      <c r="Q188" s="113">
        <f t="shared" si="111"/>
        <v>0</v>
      </c>
      <c r="R188" s="113">
        <f t="shared" si="111"/>
        <v>0</v>
      </c>
      <c r="S188" s="113">
        <f t="shared" si="111"/>
        <v>0</v>
      </c>
      <c r="T188" s="113">
        <f t="shared" si="111"/>
        <v>0</v>
      </c>
      <c r="U188" s="113">
        <f t="shared" si="111"/>
        <v>0.27777777777777779</v>
      </c>
      <c r="V188" s="114"/>
      <c r="W188" s="114"/>
      <c r="X188" s="114">
        <f t="shared" si="85"/>
        <v>0</v>
      </c>
      <c r="Y188" s="114">
        <f t="shared" si="86"/>
        <v>0</v>
      </c>
      <c r="Z188" s="377">
        <f t="shared" si="87"/>
        <v>35.833333333333336</v>
      </c>
      <c r="AA188" s="6"/>
    </row>
    <row r="189" spans="1:28" s="7" customFormat="1" ht="21" customHeight="1" x14ac:dyDescent="0.25">
      <c r="A189" s="365"/>
      <c r="B189" s="1"/>
      <c r="C189" s="7" t="str">
        <f>+'RVK SVÆDI'!C166</f>
        <v>Jórufell</v>
      </c>
      <c r="D189" s="374">
        <v>3</v>
      </c>
      <c r="E189" s="6" t="str">
        <f>+'RVK SVÆDI'!E166</f>
        <v>Breiðholt</v>
      </c>
      <c r="F189" s="6" t="str">
        <f>+'RVK SVÆDI'!F166</f>
        <v>Fellaskóli</v>
      </c>
      <c r="G189" s="375">
        <v>49</v>
      </c>
      <c r="H189" s="112">
        <v>0</v>
      </c>
      <c r="I189" s="112">
        <v>0</v>
      </c>
      <c r="J189" s="6">
        <f t="shared" ref="J189" si="112">+IF(D189=1,(G189-H189-I189),IF(D189=2,(G189-H189-I189),0))</f>
        <v>0</v>
      </c>
      <c r="K189" s="6"/>
      <c r="L189" s="375">
        <v>0.5</v>
      </c>
      <c r="M189" s="6">
        <f t="shared" si="97"/>
        <v>6</v>
      </c>
      <c r="N189" s="375">
        <v>24</v>
      </c>
      <c r="O189" s="112">
        <v>14</v>
      </c>
      <c r="P189" s="6">
        <f t="shared" ref="P189" si="113">+N189+O189+18</f>
        <v>56</v>
      </c>
      <c r="Q189" s="113">
        <f t="shared" si="111"/>
        <v>0</v>
      </c>
      <c r="R189" s="113">
        <f t="shared" si="111"/>
        <v>0</v>
      </c>
      <c r="S189" s="113">
        <f t="shared" si="111"/>
        <v>0</v>
      </c>
      <c r="T189" s="113">
        <f t="shared" si="111"/>
        <v>0</v>
      </c>
      <c r="U189" s="113">
        <f t="shared" si="111"/>
        <v>0</v>
      </c>
      <c r="V189" s="114"/>
      <c r="W189" s="114"/>
      <c r="X189" s="114">
        <f t="shared" ref="X189" si="114">S189*($G189-$H189)-SUM(V189:W189)</f>
        <v>0</v>
      </c>
      <c r="Y189" s="114">
        <f t="shared" ref="Y189" si="115">T189*($G189-$H189)-SUM(V189:X189)</f>
        <v>0</v>
      </c>
      <c r="Z189" s="114">
        <f t="shared" ref="Z189" si="116">U189*($G189-$H189)-SUM(V189:Y189)</f>
        <v>0</v>
      </c>
      <c r="AA189" s="6"/>
    </row>
    <row r="190" spans="1:28" s="7" customFormat="1" ht="21" customHeight="1" x14ac:dyDescent="0.25">
      <c r="A190" s="412"/>
      <c r="B190" s="1"/>
      <c r="C190" s="365" t="str">
        <f>+'RVK SVÆDI'!C167</f>
        <v>Suðurhólar</v>
      </c>
      <c r="D190" s="8">
        <v>5</v>
      </c>
      <c r="E190" s="6" t="str">
        <f>+'RVK SVÆDI'!E167</f>
        <v>Breiðholt</v>
      </c>
      <c r="F190" s="6" t="str">
        <f>+'RVK SVÆDI'!F167</f>
        <v>Hólabrekkuskóli</v>
      </c>
      <c r="G190" s="112">
        <v>100</v>
      </c>
      <c r="H190" s="112">
        <v>0</v>
      </c>
      <c r="I190" s="112">
        <v>0</v>
      </c>
      <c r="J190" s="6">
        <f t="shared" si="89"/>
        <v>0</v>
      </c>
      <c r="K190" s="6"/>
      <c r="L190" s="112">
        <v>2</v>
      </c>
      <c r="M190" s="6">
        <f t="shared" si="97"/>
        <v>24</v>
      </c>
      <c r="N190" s="112">
        <v>84</v>
      </c>
      <c r="O190" s="112">
        <v>14</v>
      </c>
      <c r="P190" s="6">
        <f t="shared" si="110"/>
        <v>116</v>
      </c>
      <c r="Q190" s="113">
        <f t="shared" si="111"/>
        <v>0</v>
      </c>
      <c r="R190" s="113">
        <f t="shared" si="111"/>
        <v>0</v>
      </c>
      <c r="S190" s="113">
        <f t="shared" si="111"/>
        <v>0</v>
      </c>
      <c r="T190" s="113">
        <f t="shared" si="111"/>
        <v>0</v>
      </c>
      <c r="U190" s="113">
        <f t="shared" si="111"/>
        <v>0</v>
      </c>
      <c r="V190" s="114"/>
      <c r="W190" s="114"/>
      <c r="X190" s="114">
        <f t="shared" si="85"/>
        <v>0</v>
      </c>
      <c r="Y190" s="114">
        <f t="shared" si="86"/>
        <v>0</v>
      </c>
      <c r="Z190" s="114">
        <f t="shared" si="87"/>
        <v>0</v>
      </c>
      <c r="AA190" s="6"/>
    </row>
    <row r="191" spans="1:28" s="7" customFormat="1" ht="21" customHeight="1" x14ac:dyDescent="0.25">
      <c r="A191" s="412"/>
      <c r="B191" s="1"/>
      <c r="C191" s="7" t="str">
        <f>+'RVK SVÆDI'!C168</f>
        <v>Rangársel - Hagasel 23</v>
      </c>
      <c r="D191" s="8">
        <v>2</v>
      </c>
      <c r="E191" s="6" t="str">
        <f>+'RVK SVÆDI'!E168</f>
        <v>Breiðholt</v>
      </c>
      <c r="F191" s="6" t="str">
        <f>+'RVK SVÆDI'!F168</f>
        <v>Hólabrekkuskóli</v>
      </c>
      <c r="G191" s="112">
        <v>8</v>
      </c>
      <c r="H191" s="375">
        <v>8</v>
      </c>
      <c r="I191" s="375">
        <v>0</v>
      </c>
      <c r="J191" s="6">
        <f t="shared" si="89"/>
        <v>0</v>
      </c>
      <c r="K191" s="6"/>
      <c r="L191" s="110" t="s">
        <v>306</v>
      </c>
      <c r="M191" s="111"/>
      <c r="N191" s="111"/>
      <c r="O191" s="111"/>
      <c r="P191" s="111"/>
      <c r="Q191" s="111"/>
      <c r="R191" s="111"/>
      <c r="S191" s="111"/>
      <c r="T191" s="111"/>
      <c r="U191" s="111"/>
      <c r="V191" s="112"/>
      <c r="W191" s="112"/>
      <c r="X191" s="112">
        <v>8</v>
      </c>
      <c r="Y191" s="112">
        <v>0</v>
      </c>
      <c r="Z191" s="112">
        <v>0</v>
      </c>
      <c r="AA191" s="6"/>
    </row>
    <row r="192" spans="1:28" s="7" customFormat="1" ht="21" customHeight="1" x14ac:dyDescent="0.25">
      <c r="A192" s="412"/>
      <c r="B192" s="1"/>
      <c r="C192" s="365" t="str">
        <f>+'RVK SVÆDI'!C169</f>
        <v>Rangársel (miðsvæði)</v>
      </c>
      <c r="D192" s="8">
        <v>5</v>
      </c>
      <c r="E192" s="6" t="str">
        <f>+'RVK SVÆDI'!E169</f>
        <v>Breiðholt</v>
      </c>
      <c r="F192" s="6" t="str">
        <f>+'RVK SVÆDI'!F169</f>
        <v>Seljaskóli</v>
      </c>
      <c r="G192" s="112">
        <v>92</v>
      </c>
      <c r="H192" s="112">
        <v>0</v>
      </c>
      <c r="I192" s="112">
        <v>0</v>
      </c>
      <c r="J192" s="6">
        <f t="shared" si="89"/>
        <v>0</v>
      </c>
      <c r="K192" s="6"/>
      <c r="L192" s="112">
        <v>1</v>
      </c>
      <c r="M192" s="6">
        <f t="shared" si="97"/>
        <v>12</v>
      </c>
      <c r="N192" s="112">
        <v>48</v>
      </c>
      <c r="O192" s="112">
        <v>14</v>
      </c>
      <c r="P192" s="6">
        <f t="shared" si="110"/>
        <v>80</v>
      </c>
      <c r="Q192" s="113">
        <f t="shared" ref="Q192:U193" si="117">IFERROR(IF(AND((Q$238-$P192)/$M192&gt;0,(Q$238-$P192)/$M192&lt;1),(Q$238-$P192)/$M192,IF((Q$238-$P192)/$M192&gt;0,1,0)),0)</f>
        <v>0</v>
      </c>
      <c r="R192" s="113">
        <f t="shared" si="117"/>
        <v>0</v>
      </c>
      <c r="S192" s="113">
        <f t="shared" si="117"/>
        <v>0</v>
      </c>
      <c r="T192" s="113">
        <f t="shared" si="117"/>
        <v>0</v>
      </c>
      <c r="U192" s="113">
        <f t="shared" si="117"/>
        <v>0</v>
      </c>
      <c r="V192" s="114"/>
      <c r="W192" s="114"/>
      <c r="X192" s="114">
        <f t="shared" si="85"/>
        <v>0</v>
      </c>
      <c r="Y192" s="114">
        <f t="shared" si="86"/>
        <v>0</v>
      </c>
      <c r="Z192" s="114">
        <f t="shared" si="87"/>
        <v>0</v>
      </c>
      <c r="AA192" s="6"/>
    </row>
    <row r="193" spans="1:27" s="7" customFormat="1" ht="21" customHeight="1" x14ac:dyDescent="0.25">
      <c r="A193" s="412"/>
      <c r="B193" s="1"/>
      <c r="C193" s="365" t="str">
        <f>+'RVK SVÆDI'!C170</f>
        <v>Suðurfell 4</v>
      </c>
      <c r="D193" s="8">
        <v>5</v>
      </c>
      <c r="E193" s="6" t="str">
        <f>+'RVK SVÆDI'!E170</f>
        <v>Breiðholt</v>
      </c>
      <c r="F193" s="6" t="str">
        <f>+'RVK SVÆDI'!F170</f>
        <v>Fellaskóli</v>
      </c>
      <c r="G193" s="375">
        <v>40</v>
      </c>
      <c r="H193" s="112">
        <v>0</v>
      </c>
      <c r="I193" s="112">
        <v>0</v>
      </c>
      <c r="J193" s="6">
        <f t="shared" si="89"/>
        <v>0</v>
      </c>
      <c r="K193" s="6"/>
      <c r="L193" s="112">
        <v>1</v>
      </c>
      <c r="M193" s="6">
        <f t="shared" si="97"/>
        <v>12</v>
      </c>
      <c r="N193" s="112">
        <v>48</v>
      </c>
      <c r="O193" s="112">
        <v>14</v>
      </c>
      <c r="P193" s="6">
        <f t="shared" si="110"/>
        <v>80</v>
      </c>
      <c r="Q193" s="113">
        <f t="shared" si="117"/>
        <v>0</v>
      </c>
      <c r="R193" s="113">
        <f t="shared" si="117"/>
        <v>0</v>
      </c>
      <c r="S193" s="113">
        <f t="shared" si="117"/>
        <v>0</v>
      </c>
      <c r="T193" s="113">
        <f t="shared" si="117"/>
        <v>0</v>
      </c>
      <c r="U193" s="113">
        <f t="shared" si="117"/>
        <v>0</v>
      </c>
      <c r="V193" s="114"/>
      <c r="W193" s="114"/>
      <c r="X193" s="114">
        <f t="shared" si="85"/>
        <v>0</v>
      </c>
      <c r="Y193" s="114">
        <f t="shared" si="86"/>
        <v>0</v>
      </c>
      <c r="Z193" s="114">
        <f t="shared" si="87"/>
        <v>0</v>
      </c>
      <c r="AA193" s="6"/>
    </row>
    <row r="194" spans="1:27" s="181" customFormat="1" ht="21" customHeight="1" x14ac:dyDescent="0.25">
      <c r="A194" s="412"/>
      <c r="B194" s="1"/>
      <c r="C194" s="174" t="str">
        <f>+'RVK SVÆDI'!C171</f>
        <v>Stekkjarbakki - biodome</v>
      </c>
      <c r="D194" s="175">
        <v>2</v>
      </c>
      <c r="E194" s="129" t="str">
        <f>+'RVK SVÆDI'!E171</f>
        <v>Breiðholt</v>
      </c>
      <c r="F194" s="129" t="str">
        <f>+'RVK SVÆDI'!F171</f>
        <v>Fellaskóli</v>
      </c>
      <c r="G194" s="176"/>
      <c r="H194" s="176"/>
      <c r="I194" s="176"/>
      <c r="J194" s="177"/>
      <c r="K194" s="129"/>
      <c r="L194" s="178"/>
      <c r="M194" s="129"/>
      <c r="N194" s="178"/>
      <c r="O194" s="178"/>
      <c r="P194" s="129"/>
      <c r="Q194" s="179"/>
      <c r="R194" s="179"/>
      <c r="S194" s="179"/>
      <c r="T194" s="179"/>
      <c r="U194" s="179"/>
      <c r="V194" s="180"/>
      <c r="W194" s="180"/>
      <c r="X194" s="180"/>
      <c r="Y194" s="180"/>
      <c r="Z194" s="180"/>
      <c r="AA194" s="129"/>
    </row>
    <row r="195" spans="1:27" s="7" customFormat="1" ht="21" customHeight="1" x14ac:dyDescent="0.25">
      <c r="A195" s="412"/>
      <c r="B195" s="1"/>
      <c r="C195" s="7" t="str">
        <f>+'RVK SVÆDI'!C172</f>
        <v>Gufunes I</v>
      </c>
      <c r="D195" s="8">
        <v>1</v>
      </c>
      <c r="E195" s="6" t="str">
        <f>+'RVK SVÆDI'!E172</f>
        <v>Grafarvogur</v>
      </c>
      <c r="F195" s="6" t="str">
        <f>+'RVK SVÆDI'!F172</f>
        <v>Borgarskóli</v>
      </c>
      <c r="G195" s="375">
        <v>446</v>
      </c>
      <c r="H195" s="375">
        <f>45+92</f>
        <v>137</v>
      </c>
      <c r="I195" s="375">
        <v>87</v>
      </c>
      <c r="J195" s="6">
        <f>+IF(D195=1,(G195-H195-I195),IF(D195=2,(G195-H195-I195),0))</f>
        <v>222</v>
      </c>
      <c r="K195" s="6"/>
      <c r="L195" s="110" t="s">
        <v>306</v>
      </c>
      <c r="M195" s="111"/>
      <c r="N195" s="111"/>
      <c r="O195" s="111"/>
      <c r="P195" s="111"/>
      <c r="Q195" s="111"/>
      <c r="R195" s="111"/>
      <c r="S195" s="111"/>
      <c r="T195" s="111"/>
      <c r="U195" s="111"/>
      <c r="V195" s="112"/>
      <c r="W195" s="112">
        <v>45</v>
      </c>
      <c r="X195" s="112">
        <f>92+87</f>
        <v>179</v>
      </c>
      <c r="Y195" s="375">
        <v>77</v>
      </c>
      <c r="Z195" s="375">
        <v>48</v>
      </c>
      <c r="AA195" s="6"/>
    </row>
    <row r="196" spans="1:27" s="7" customFormat="1" ht="21" customHeight="1" x14ac:dyDescent="0.25">
      <c r="A196" s="365"/>
      <c r="B196" s="1"/>
      <c r="C196" s="7" t="str">
        <f>+'RVK SVÆDI'!C173</f>
        <v>Gufunes I þróun</v>
      </c>
      <c r="D196" s="8">
        <v>3</v>
      </c>
      <c r="E196" s="6" t="str">
        <f>+'RVK SVÆDI'!E173</f>
        <v>Grafarvogur</v>
      </c>
      <c r="F196" s="6" t="str">
        <f>+'RVK SVÆDI'!F173</f>
        <v>Borgarskóli</v>
      </c>
      <c r="G196" s="375">
        <v>250</v>
      </c>
      <c r="H196" s="112">
        <v>0</v>
      </c>
      <c r="I196" s="112">
        <v>0</v>
      </c>
      <c r="J196" s="6">
        <f t="shared" ref="J196" si="118">+IF(D196=1,(G196-H196-I196),IF(D196=2,(G196-H196-I196),0))</f>
        <v>0</v>
      </c>
      <c r="K196" s="6"/>
      <c r="L196" s="112">
        <v>9</v>
      </c>
      <c r="M196" s="6">
        <f t="shared" ref="M196" si="119">+L196*12</f>
        <v>108</v>
      </c>
      <c r="N196" s="112">
        <v>120</v>
      </c>
      <c r="O196" s="112">
        <v>14</v>
      </c>
      <c r="P196" s="6">
        <f t="shared" ref="P196" si="120">+N196+O196+18</f>
        <v>152</v>
      </c>
      <c r="Q196" s="113">
        <f t="shared" ref="Q196:U200" si="121">IFERROR(IF(AND((Q$238-$P196)/$M196&gt;0,(Q$238-$P196)/$M196&lt;1),(Q$238-$P196)/$M196,IF((Q$238-$P196)/$M196&gt;0,1,0)),0)</f>
        <v>0</v>
      </c>
      <c r="R196" s="113">
        <f t="shared" si="121"/>
        <v>0</v>
      </c>
      <c r="S196" s="113">
        <f t="shared" si="121"/>
        <v>0</v>
      </c>
      <c r="T196" s="113">
        <f t="shared" si="121"/>
        <v>0</v>
      </c>
      <c r="U196" s="113">
        <f t="shared" si="121"/>
        <v>0</v>
      </c>
      <c r="V196" s="114"/>
      <c r="W196" s="114"/>
      <c r="X196" s="114">
        <f t="shared" ref="X196" si="122">S196*($G196-$H196)-SUM(V196:W196)</f>
        <v>0</v>
      </c>
      <c r="Y196" s="114">
        <f t="shared" ref="Y196" si="123">T196*($G196-$H196)-SUM(V196:X196)</f>
        <v>0</v>
      </c>
      <c r="Z196" s="114">
        <f t="shared" ref="Z196" si="124">U196*($G196-$H196)-SUM(V196:Y196)</f>
        <v>0</v>
      </c>
      <c r="AA196" s="6"/>
    </row>
    <row r="197" spans="1:27" s="7" customFormat="1" ht="21" customHeight="1" x14ac:dyDescent="0.25">
      <c r="A197" s="412"/>
      <c r="B197" s="1"/>
      <c r="C197" s="7" t="str">
        <f>+'RVK SVÆDI'!C174</f>
        <v>Gufunes II</v>
      </c>
      <c r="D197" s="8">
        <v>3</v>
      </c>
      <c r="E197" s="6" t="str">
        <f>+'RVK SVÆDI'!E174</f>
        <v>Grafarvogur</v>
      </c>
      <c r="F197" s="6" t="str">
        <f>+'RVK SVÆDI'!F174</f>
        <v>Borgarskóli</v>
      </c>
      <c r="G197" s="375">
        <v>400</v>
      </c>
      <c r="H197" s="112">
        <v>0</v>
      </c>
      <c r="I197" s="112">
        <v>0</v>
      </c>
      <c r="J197" s="6">
        <f t="shared" si="89"/>
        <v>0</v>
      </c>
      <c r="K197" s="6"/>
      <c r="L197" s="112">
        <v>10</v>
      </c>
      <c r="M197" s="6">
        <f t="shared" si="97"/>
        <v>120</v>
      </c>
      <c r="N197" s="112">
        <v>120</v>
      </c>
      <c r="O197" s="112">
        <v>14</v>
      </c>
      <c r="P197" s="6">
        <f t="shared" si="83"/>
        <v>152</v>
      </c>
      <c r="Q197" s="113">
        <f t="shared" si="121"/>
        <v>0</v>
      </c>
      <c r="R197" s="113">
        <f t="shared" si="121"/>
        <v>0</v>
      </c>
      <c r="S197" s="113">
        <f t="shared" si="121"/>
        <v>0</v>
      </c>
      <c r="T197" s="113">
        <f t="shared" si="121"/>
        <v>0</v>
      </c>
      <c r="U197" s="113">
        <f t="shared" si="121"/>
        <v>0</v>
      </c>
      <c r="V197" s="114"/>
      <c r="W197" s="114"/>
      <c r="X197" s="114">
        <f t="shared" si="85"/>
        <v>0</v>
      </c>
      <c r="Y197" s="114">
        <f t="shared" si="86"/>
        <v>0</v>
      </c>
      <c r="Z197" s="114">
        <f t="shared" si="87"/>
        <v>0</v>
      </c>
      <c r="AA197" s="6"/>
    </row>
    <row r="198" spans="1:27" s="7" customFormat="1" ht="21" customHeight="1" x14ac:dyDescent="0.25">
      <c r="A198" s="412"/>
      <c r="B198" s="1"/>
      <c r="C198" s="365" t="str">
        <f>+'RVK SVÆDI'!C175</f>
        <v>Keldur</v>
      </c>
      <c r="D198" s="8">
        <v>5</v>
      </c>
      <c r="E198" s="6" t="str">
        <f>+'RVK SVÆDI'!E175</f>
        <v>Grafarvogur</v>
      </c>
      <c r="F198" s="6" t="str">
        <f>+'RVK SVÆDI'!F175</f>
        <v>Húsaskóli</v>
      </c>
      <c r="G198" s="112">
        <v>1500</v>
      </c>
      <c r="H198" s="112">
        <v>0</v>
      </c>
      <c r="I198" s="112">
        <v>0</v>
      </c>
      <c r="J198" s="6">
        <f t="shared" si="89"/>
        <v>0</v>
      </c>
      <c r="K198" s="6"/>
      <c r="L198" s="112">
        <v>20</v>
      </c>
      <c r="M198" s="6">
        <f t="shared" si="97"/>
        <v>240</v>
      </c>
      <c r="N198" s="112">
        <v>120</v>
      </c>
      <c r="O198" s="112">
        <v>14</v>
      </c>
      <c r="P198" s="6">
        <f t="shared" ref="P198:P200" si="125">+N198+O198+18</f>
        <v>152</v>
      </c>
      <c r="Q198" s="113">
        <f t="shared" si="121"/>
        <v>0</v>
      </c>
      <c r="R198" s="113">
        <f t="shared" si="121"/>
        <v>0</v>
      </c>
      <c r="S198" s="113">
        <f t="shared" si="121"/>
        <v>0</v>
      </c>
      <c r="T198" s="113">
        <f t="shared" si="121"/>
        <v>0</v>
      </c>
      <c r="U198" s="113">
        <f t="shared" si="121"/>
        <v>0</v>
      </c>
      <c r="V198" s="114"/>
      <c r="W198" s="114"/>
      <c r="X198" s="114">
        <f t="shared" ref="X198:X218" si="126">S198*($G198-$H198)-SUM(V198:W198)</f>
        <v>0</v>
      </c>
      <c r="Y198" s="114">
        <f t="shared" ref="Y198:Y218" si="127">T198*($G198-$H198)-SUM(V198:X198)</f>
        <v>0</v>
      </c>
      <c r="Z198" s="114">
        <f t="shared" ref="Z198:Z219" si="128">U198*($G198-$H198)-SUM(V198:Y198)</f>
        <v>0</v>
      </c>
      <c r="AA198" s="6"/>
    </row>
    <row r="199" spans="1:27" s="7" customFormat="1" ht="21" customHeight="1" x14ac:dyDescent="0.25">
      <c r="A199" s="412"/>
      <c r="B199" s="1"/>
      <c r="C199" s="365" t="str">
        <f>+'RVK SVÆDI'!C176</f>
        <v>Foldahverfi-hverfiskjarni</v>
      </c>
      <c r="D199" s="8">
        <v>4</v>
      </c>
      <c r="E199" s="6" t="str">
        <f>+'RVK SVÆDI'!E176</f>
        <v>Grafarvogur</v>
      </c>
      <c r="F199" s="6" t="str">
        <f>+'RVK SVÆDI'!F176</f>
        <v>Foldaskóli</v>
      </c>
      <c r="G199" s="112">
        <v>50</v>
      </c>
      <c r="H199" s="112">
        <v>0</v>
      </c>
      <c r="I199" s="112">
        <v>0</v>
      </c>
      <c r="J199" s="6">
        <f t="shared" si="89"/>
        <v>0</v>
      </c>
      <c r="K199" s="6"/>
      <c r="L199" s="112">
        <v>1</v>
      </c>
      <c r="M199" s="6">
        <f t="shared" si="97"/>
        <v>12</v>
      </c>
      <c r="N199" s="112">
        <v>24</v>
      </c>
      <c r="O199" s="112">
        <v>14</v>
      </c>
      <c r="P199" s="6">
        <f t="shared" si="125"/>
        <v>56</v>
      </c>
      <c r="Q199" s="113">
        <f t="shared" si="121"/>
        <v>0</v>
      </c>
      <c r="R199" s="113">
        <f t="shared" si="121"/>
        <v>0</v>
      </c>
      <c r="S199" s="113">
        <f t="shared" si="121"/>
        <v>0</v>
      </c>
      <c r="T199" s="113">
        <f t="shared" si="121"/>
        <v>0</v>
      </c>
      <c r="U199" s="113">
        <f t="shared" si="121"/>
        <v>0</v>
      </c>
      <c r="V199" s="114"/>
      <c r="W199" s="114"/>
      <c r="X199" s="114">
        <f t="shared" si="126"/>
        <v>0</v>
      </c>
      <c r="Y199" s="114">
        <f t="shared" si="127"/>
        <v>0</v>
      </c>
      <c r="Z199" s="114">
        <f t="shared" si="128"/>
        <v>0</v>
      </c>
      <c r="AA199" s="6"/>
    </row>
    <row r="200" spans="1:27" s="7" customFormat="1" ht="21" customHeight="1" x14ac:dyDescent="0.25">
      <c r="A200" s="412"/>
      <c r="B200" s="1"/>
      <c r="C200" s="365" t="str">
        <f>+'RVK SVÆDI'!C177</f>
        <v>Sóleyjarrimi</v>
      </c>
      <c r="D200" s="8">
        <v>5</v>
      </c>
      <c r="E200" s="6" t="str">
        <f>+'RVK SVÆDI'!E177</f>
        <v>Grafarvogur</v>
      </c>
      <c r="F200" s="6" t="str">
        <f>+'RVK SVÆDI'!F177</f>
        <v>Rimaskóli</v>
      </c>
      <c r="G200" s="112">
        <v>50</v>
      </c>
      <c r="H200" s="112">
        <v>0</v>
      </c>
      <c r="I200" s="112">
        <v>0</v>
      </c>
      <c r="J200" s="6">
        <f t="shared" si="89"/>
        <v>0</v>
      </c>
      <c r="K200" s="6"/>
      <c r="L200" s="112">
        <v>1</v>
      </c>
      <c r="M200" s="6">
        <f t="shared" si="97"/>
        <v>12</v>
      </c>
      <c r="N200" s="112">
        <v>24</v>
      </c>
      <c r="O200" s="112">
        <v>14</v>
      </c>
      <c r="P200" s="6">
        <f t="shared" si="125"/>
        <v>56</v>
      </c>
      <c r="Q200" s="113">
        <f t="shared" si="121"/>
        <v>0</v>
      </c>
      <c r="R200" s="113">
        <f t="shared" si="121"/>
        <v>0</v>
      </c>
      <c r="S200" s="113">
        <f t="shared" si="121"/>
        <v>0</v>
      </c>
      <c r="T200" s="113">
        <f t="shared" si="121"/>
        <v>0</v>
      </c>
      <c r="U200" s="113">
        <f t="shared" si="121"/>
        <v>0</v>
      </c>
      <c r="V200" s="114"/>
      <c r="W200" s="114"/>
      <c r="X200" s="114">
        <f t="shared" si="126"/>
        <v>0</v>
      </c>
      <c r="Y200" s="114">
        <f t="shared" si="127"/>
        <v>0</v>
      </c>
      <c r="Z200" s="114">
        <f t="shared" si="128"/>
        <v>0</v>
      </c>
      <c r="AA200" s="6"/>
    </row>
    <row r="201" spans="1:27" s="181" customFormat="1" ht="21" customHeight="1" x14ac:dyDescent="0.25">
      <c r="A201" s="412"/>
      <c r="B201" s="1"/>
      <c r="C201" s="174" t="str">
        <f>+'RVK SVÆDI'!C178</f>
        <v>Spöngin-Móavegur</v>
      </c>
      <c r="D201" s="175">
        <v>1</v>
      </c>
      <c r="E201" s="129" t="str">
        <f>+'RVK SVÆDI'!E178</f>
        <v>Grafarvogur</v>
      </c>
      <c r="F201" s="129" t="str">
        <f>+'RVK SVÆDI'!F178</f>
        <v>Borgarskóli</v>
      </c>
      <c r="G201" s="176">
        <v>96</v>
      </c>
      <c r="H201" s="176">
        <v>96</v>
      </c>
      <c r="I201" s="176">
        <f t="shared" si="106"/>
        <v>0</v>
      </c>
      <c r="J201" s="177">
        <f t="shared" si="89"/>
        <v>0</v>
      </c>
      <c r="K201" s="129"/>
      <c r="L201" s="178"/>
      <c r="M201" s="129"/>
      <c r="N201" s="178"/>
      <c r="O201" s="178"/>
      <c r="P201" s="129"/>
      <c r="Q201" s="179"/>
      <c r="R201" s="179"/>
      <c r="S201" s="179"/>
      <c r="T201" s="179"/>
      <c r="U201" s="179"/>
      <c r="V201" s="114"/>
      <c r="W201" s="114"/>
      <c r="X201" s="180"/>
      <c r="Y201" s="180"/>
      <c r="Z201" s="180"/>
      <c r="AA201" s="129"/>
    </row>
    <row r="202" spans="1:27" s="7" customFormat="1" ht="21" customHeight="1" x14ac:dyDescent="0.25">
      <c r="A202" s="412"/>
      <c r="B202" s="1"/>
      <c r="C202" s="365" t="str">
        <f>+'RVK SVÆDI'!C179</f>
        <v>Borgarholtsreitur</v>
      </c>
      <c r="D202" s="8">
        <v>4</v>
      </c>
      <c r="E202" s="6" t="str">
        <f>+'RVK SVÆDI'!E179</f>
        <v>Grafarvogur</v>
      </c>
      <c r="F202" s="6" t="str">
        <f>+'RVK SVÆDI'!F179</f>
        <v>Engjaskóli</v>
      </c>
      <c r="G202" s="112">
        <v>40</v>
      </c>
      <c r="H202" s="112">
        <v>0</v>
      </c>
      <c r="I202" s="112">
        <v>0</v>
      </c>
      <c r="J202" s="6">
        <f t="shared" si="89"/>
        <v>0</v>
      </c>
      <c r="K202" s="6"/>
      <c r="L202" s="112">
        <v>1</v>
      </c>
      <c r="M202" s="6">
        <f t="shared" si="97"/>
        <v>12</v>
      </c>
      <c r="N202" s="112">
        <v>48</v>
      </c>
      <c r="O202" s="112">
        <v>14</v>
      </c>
      <c r="P202" s="6">
        <f t="shared" ref="P202:P206" si="129">+N202+O202+18</f>
        <v>80</v>
      </c>
      <c r="Q202" s="113">
        <f t="shared" ref="Q202:U206" si="130">IFERROR(IF(AND((Q$238-$P202)/$M202&gt;0,(Q$238-$P202)/$M202&lt;1),(Q$238-$P202)/$M202,IF((Q$238-$P202)/$M202&gt;0,1,0)),0)</f>
        <v>0</v>
      </c>
      <c r="R202" s="113">
        <f t="shared" si="130"/>
        <v>0</v>
      </c>
      <c r="S202" s="113">
        <f t="shared" si="130"/>
        <v>0</v>
      </c>
      <c r="T202" s="113">
        <f t="shared" si="130"/>
        <v>0</v>
      </c>
      <c r="U202" s="113">
        <f t="shared" si="130"/>
        <v>0</v>
      </c>
      <c r="V202" s="114"/>
      <c r="W202" s="114"/>
      <c r="X202" s="114">
        <f t="shared" si="126"/>
        <v>0</v>
      </c>
      <c r="Y202" s="114">
        <f t="shared" si="127"/>
        <v>0</v>
      </c>
      <c r="Z202" s="114">
        <f t="shared" si="128"/>
        <v>0</v>
      </c>
      <c r="AA202" s="6"/>
    </row>
    <row r="203" spans="1:27" s="7" customFormat="1" ht="21" customHeight="1" x14ac:dyDescent="0.25">
      <c r="A203" s="412"/>
      <c r="B203" s="1"/>
      <c r="C203" s="365" t="str">
        <f>+'RVK SVÆDI'!C180</f>
        <v>Fjallkonuvegur 1 (B)</v>
      </c>
      <c r="D203" s="8">
        <v>5</v>
      </c>
      <c r="E203" s="6" t="str">
        <f>+'RVK SVÆDI'!E180</f>
        <v>Grafarvogur</v>
      </c>
      <c r="F203" s="6" t="str">
        <f>+'RVK SVÆDI'!F180</f>
        <v>Foldaskóli</v>
      </c>
      <c r="G203" s="112">
        <v>20</v>
      </c>
      <c r="H203" s="112">
        <v>0</v>
      </c>
      <c r="I203" s="112">
        <v>0</v>
      </c>
      <c r="J203" s="6">
        <f t="shared" si="89"/>
        <v>0</v>
      </c>
      <c r="K203" s="6"/>
      <c r="L203" s="112">
        <v>0.5</v>
      </c>
      <c r="M203" s="6">
        <f t="shared" si="97"/>
        <v>6</v>
      </c>
      <c r="N203" s="112">
        <v>48</v>
      </c>
      <c r="O203" s="112">
        <v>14</v>
      </c>
      <c r="P203" s="6">
        <f t="shared" si="129"/>
        <v>80</v>
      </c>
      <c r="Q203" s="113">
        <f t="shared" si="130"/>
        <v>0</v>
      </c>
      <c r="R203" s="113">
        <f t="shared" si="130"/>
        <v>0</v>
      </c>
      <c r="S203" s="113">
        <f t="shared" si="130"/>
        <v>0</v>
      </c>
      <c r="T203" s="113">
        <f t="shared" si="130"/>
        <v>0</v>
      </c>
      <c r="U203" s="113">
        <f t="shared" si="130"/>
        <v>0</v>
      </c>
      <c r="V203" s="114"/>
      <c r="W203" s="114"/>
      <c r="X203" s="114">
        <f t="shared" si="126"/>
        <v>0</v>
      </c>
      <c r="Y203" s="114">
        <f t="shared" si="127"/>
        <v>0</v>
      </c>
      <c r="Z203" s="114">
        <f t="shared" si="128"/>
        <v>0</v>
      </c>
      <c r="AA203" s="6"/>
    </row>
    <row r="204" spans="1:27" s="7" customFormat="1" ht="21" customHeight="1" x14ac:dyDescent="0.25">
      <c r="A204" s="412"/>
      <c r="B204" s="1"/>
      <c r="C204" s="365" t="str">
        <f>+'RVK SVÆDI'!C181</f>
        <v>Korpa I-Egilshöll</v>
      </c>
      <c r="D204" s="8">
        <v>5</v>
      </c>
      <c r="E204" s="6" t="str">
        <f>+'RVK SVÆDI'!E181</f>
        <v>Grafarvogur</v>
      </c>
      <c r="F204" s="6" t="str">
        <f>+'RVK SVÆDI'!F181</f>
        <v>Staðarskóli</v>
      </c>
      <c r="G204" s="112">
        <v>100</v>
      </c>
      <c r="H204" s="112">
        <v>0</v>
      </c>
      <c r="I204" s="112">
        <v>0</v>
      </c>
      <c r="J204" s="6">
        <f t="shared" si="89"/>
        <v>0</v>
      </c>
      <c r="K204" s="6"/>
      <c r="L204" s="112">
        <v>4</v>
      </c>
      <c r="M204" s="6">
        <f t="shared" si="97"/>
        <v>48</v>
      </c>
      <c r="N204" s="112">
        <v>84</v>
      </c>
      <c r="O204" s="112">
        <v>14</v>
      </c>
      <c r="P204" s="6">
        <f t="shared" si="129"/>
        <v>116</v>
      </c>
      <c r="Q204" s="113">
        <f t="shared" si="130"/>
        <v>0</v>
      </c>
      <c r="R204" s="113">
        <f t="shared" si="130"/>
        <v>0</v>
      </c>
      <c r="S204" s="113">
        <f t="shared" si="130"/>
        <v>0</v>
      </c>
      <c r="T204" s="113">
        <f t="shared" si="130"/>
        <v>0</v>
      </c>
      <c r="U204" s="113">
        <f t="shared" si="130"/>
        <v>0</v>
      </c>
      <c r="V204" s="114"/>
      <c r="W204" s="114"/>
      <c r="X204" s="114">
        <f t="shared" si="126"/>
        <v>0</v>
      </c>
      <c r="Y204" s="114">
        <f t="shared" si="127"/>
        <v>0</v>
      </c>
      <c r="Z204" s="114">
        <f t="shared" si="128"/>
        <v>0</v>
      </c>
      <c r="AA204" s="6"/>
    </row>
    <row r="205" spans="1:27" s="7" customFormat="1" ht="21" customHeight="1" x14ac:dyDescent="0.25">
      <c r="A205" s="412"/>
      <c r="B205" s="1"/>
      <c r="C205" s="365" t="str">
        <f>+'RVK SVÆDI'!C182</f>
        <v>Korpa II-Korpúlfsstaðir</v>
      </c>
      <c r="D205" s="8">
        <v>5</v>
      </c>
      <c r="E205" s="6" t="str">
        <f>+'RVK SVÆDI'!E182</f>
        <v>Grafarvogur</v>
      </c>
      <c r="F205" s="6" t="str">
        <f>+'RVK SVÆDI'!F182</f>
        <v>Staðarskóli</v>
      </c>
      <c r="G205" s="112">
        <v>300</v>
      </c>
      <c r="H205" s="112">
        <v>0</v>
      </c>
      <c r="I205" s="112">
        <v>0</v>
      </c>
      <c r="J205" s="6">
        <f t="shared" si="89"/>
        <v>0</v>
      </c>
      <c r="K205" s="6"/>
      <c r="L205" s="112">
        <v>8</v>
      </c>
      <c r="M205" s="6">
        <f t="shared" si="97"/>
        <v>96</v>
      </c>
      <c r="N205" s="112">
        <v>96</v>
      </c>
      <c r="O205" s="112">
        <v>14</v>
      </c>
      <c r="P205" s="6">
        <f t="shared" si="129"/>
        <v>128</v>
      </c>
      <c r="Q205" s="113">
        <f t="shared" si="130"/>
        <v>0</v>
      </c>
      <c r="R205" s="113">
        <f t="shared" si="130"/>
        <v>0</v>
      </c>
      <c r="S205" s="113">
        <f t="shared" si="130"/>
        <v>0</v>
      </c>
      <c r="T205" s="113">
        <f t="shared" si="130"/>
        <v>0</v>
      </c>
      <c r="U205" s="113">
        <f t="shared" si="130"/>
        <v>0</v>
      </c>
      <c r="V205" s="114"/>
      <c r="W205" s="114"/>
      <c r="X205" s="114">
        <f t="shared" si="126"/>
        <v>0</v>
      </c>
      <c r="Y205" s="114">
        <f t="shared" si="127"/>
        <v>0</v>
      </c>
      <c r="Z205" s="114">
        <f t="shared" si="128"/>
        <v>0</v>
      </c>
      <c r="AA205" s="6"/>
    </row>
    <row r="206" spans="1:27" s="7" customFormat="1" ht="21" customHeight="1" x14ac:dyDescent="0.25">
      <c r="A206" s="412"/>
      <c r="B206" s="1"/>
      <c r="C206" s="365" t="str">
        <f>+'RVK SVÆDI'!C183</f>
        <v>Korpa III-Korpa (Korputorg)</v>
      </c>
      <c r="D206" s="8">
        <v>4</v>
      </c>
      <c r="E206" s="6" t="str">
        <f>+'RVK SVÆDI'!E183</f>
        <v>Grafarvogur</v>
      </c>
      <c r="F206" s="6" t="str">
        <f>+'RVK SVÆDI'!F183</f>
        <v>Staðarskóli</v>
      </c>
      <c r="G206" s="112">
        <v>100</v>
      </c>
      <c r="H206" s="112">
        <v>0</v>
      </c>
      <c r="I206" s="112">
        <v>0</v>
      </c>
      <c r="J206" s="6">
        <f t="shared" si="89"/>
        <v>0</v>
      </c>
      <c r="K206" s="6"/>
      <c r="L206" s="112">
        <v>4</v>
      </c>
      <c r="M206" s="6">
        <f t="shared" si="97"/>
        <v>48</v>
      </c>
      <c r="N206" s="112">
        <v>108</v>
      </c>
      <c r="O206" s="112">
        <v>14</v>
      </c>
      <c r="P206" s="6">
        <f t="shared" si="129"/>
        <v>140</v>
      </c>
      <c r="Q206" s="113">
        <f t="shared" si="130"/>
        <v>0</v>
      </c>
      <c r="R206" s="113">
        <f t="shared" si="130"/>
        <v>0</v>
      </c>
      <c r="S206" s="113">
        <f t="shared" si="130"/>
        <v>0</v>
      </c>
      <c r="T206" s="113">
        <f t="shared" si="130"/>
        <v>0</v>
      </c>
      <c r="U206" s="113">
        <f t="shared" si="130"/>
        <v>0</v>
      </c>
      <c r="V206" s="114"/>
      <c r="W206" s="114"/>
      <c r="X206" s="114">
        <f t="shared" si="126"/>
        <v>0</v>
      </c>
      <c r="Y206" s="114">
        <f t="shared" si="127"/>
        <v>0</v>
      </c>
      <c r="Z206" s="114">
        <f t="shared" si="128"/>
        <v>0</v>
      </c>
      <c r="AA206" s="6"/>
    </row>
    <row r="207" spans="1:27" s="181" customFormat="1" ht="21" customHeight="1" x14ac:dyDescent="0.25">
      <c r="A207" s="412"/>
      <c r="B207" s="1"/>
      <c r="C207" s="174" t="str">
        <f>+'RVK SVÆDI'!C184</f>
        <v>Gylfaflöt</v>
      </c>
      <c r="D207" s="175">
        <v>2</v>
      </c>
      <c r="E207" s="129" t="str">
        <f>+'RVK SVÆDI'!E184</f>
        <v>Grafarvogur</v>
      </c>
      <c r="F207" s="129">
        <f>+'RVK SVÆDI'!F184</f>
        <v>0</v>
      </c>
      <c r="G207" s="176"/>
      <c r="H207" s="176"/>
      <c r="I207" s="176"/>
      <c r="J207" s="177"/>
      <c r="K207" s="129"/>
      <c r="L207" s="178"/>
      <c r="M207" s="129"/>
      <c r="N207" s="178"/>
      <c r="O207" s="178"/>
      <c r="P207" s="129"/>
      <c r="Q207" s="179"/>
      <c r="R207" s="179"/>
      <c r="S207" s="179"/>
      <c r="T207" s="179"/>
      <c r="U207" s="179"/>
      <c r="V207" s="180"/>
      <c r="W207" s="180"/>
      <c r="X207" s="180"/>
      <c r="Y207" s="180"/>
      <c r="Z207" s="180"/>
      <c r="AA207" s="129"/>
    </row>
    <row r="208" spans="1:27" s="181" customFormat="1" ht="21" customHeight="1" x14ac:dyDescent="0.25">
      <c r="A208" s="412"/>
      <c r="B208" s="1"/>
      <c r="C208" s="174" t="str">
        <f>+'RVK SVÆDI'!C185</f>
        <v>Fossaleynir M10</v>
      </c>
      <c r="D208" s="175">
        <v>2</v>
      </c>
      <c r="E208" s="129" t="str">
        <f>+'RVK SVÆDI'!E185</f>
        <v>Grafarvogur</v>
      </c>
      <c r="F208" s="129">
        <f>+'RVK SVÆDI'!F185</f>
        <v>0</v>
      </c>
      <c r="G208" s="176"/>
      <c r="H208" s="176"/>
      <c r="I208" s="176"/>
      <c r="J208" s="177"/>
      <c r="K208" s="129"/>
      <c r="L208" s="178"/>
      <c r="M208" s="129"/>
      <c r="N208" s="178"/>
      <c r="O208" s="178"/>
      <c r="P208" s="129"/>
      <c r="Q208" s="179"/>
      <c r="R208" s="179"/>
      <c r="S208" s="179"/>
      <c r="T208" s="179"/>
      <c r="U208" s="179"/>
      <c r="V208" s="180"/>
      <c r="W208" s="180"/>
      <c r="X208" s="180"/>
      <c r="Y208" s="180"/>
      <c r="Z208" s="180"/>
      <c r="AA208" s="129"/>
    </row>
    <row r="209" spans="1:16381" s="181" customFormat="1" ht="21" customHeight="1" x14ac:dyDescent="0.25">
      <c r="A209" s="412"/>
      <c r="B209" s="1"/>
      <c r="C209" s="174" t="str">
        <f>+'RVK SVÆDI'!C186</f>
        <v>Höfðar M4b</v>
      </c>
      <c r="D209" s="175">
        <v>1</v>
      </c>
      <c r="E209" s="129" t="str">
        <f>+'RVK SVÆDI'!E186</f>
        <v>Grafarvogur</v>
      </c>
      <c r="F209" s="129">
        <f>+'RVK SVÆDI'!F186</f>
        <v>0</v>
      </c>
      <c r="G209" s="176"/>
      <c r="H209" s="176"/>
      <c r="I209" s="176"/>
      <c r="J209" s="177"/>
      <c r="K209" s="129"/>
      <c r="L209" s="178"/>
      <c r="M209" s="129"/>
      <c r="N209" s="178"/>
      <c r="O209" s="178"/>
      <c r="P209" s="129"/>
      <c r="Q209" s="179"/>
      <c r="R209" s="179"/>
      <c r="S209" s="179"/>
      <c r="T209" s="179"/>
      <c r="U209" s="179"/>
      <c r="V209" s="180"/>
      <c r="W209" s="180"/>
      <c r="X209" s="180"/>
      <c r="Y209" s="180"/>
      <c r="Z209" s="180"/>
      <c r="AA209" s="129"/>
    </row>
    <row r="210" spans="1:16381" s="181" customFormat="1" ht="21" customHeight="1" x14ac:dyDescent="0.25">
      <c r="A210" s="412"/>
      <c r="B210" s="1"/>
      <c r="C210" s="174" t="str">
        <f>+'RVK SVÆDI'!C187</f>
        <v>Keldur M4c</v>
      </c>
      <c r="D210" s="175">
        <v>4</v>
      </c>
      <c r="E210" s="129" t="str">
        <f>+'RVK SVÆDI'!E187</f>
        <v>Grafarvogur</v>
      </c>
      <c r="F210" s="129">
        <f>+'RVK SVÆDI'!F187</f>
        <v>0</v>
      </c>
      <c r="G210" s="176"/>
      <c r="H210" s="176"/>
      <c r="I210" s="176"/>
      <c r="J210" s="177"/>
      <c r="K210" s="129"/>
      <c r="L210" s="178"/>
      <c r="M210" s="129"/>
      <c r="N210" s="178"/>
      <c r="O210" s="178"/>
      <c r="P210" s="129"/>
      <c r="Q210" s="179"/>
      <c r="R210" s="179"/>
      <c r="S210" s="179"/>
      <c r="T210" s="179"/>
      <c r="U210" s="179"/>
      <c r="V210" s="180"/>
      <c r="W210" s="180"/>
      <c r="X210" s="180"/>
      <c r="Y210" s="180"/>
      <c r="Z210" s="180"/>
      <c r="AA210" s="129"/>
    </row>
    <row r="211" spans="1:16381" s="181" customFormat="1" ht="21" customHeight="1" x14ac:dyDescent="0.25">
      <c r="A211" s="412"/>
      <c r="B211" s="1"/>
      <c r="C211" s="174" t="str">
        <f>+'RVK SVÆDI'!C188</f>
        <v>Keldur M4d</v>
      </c>
      <c r="D211" s="175">
        <v>4</v>
      </c>
      <c r="E211" s="129" t="str">
        <f>+'RVK SVÆDI'!E188</f>
        <v>Grafarvogur</v>
      </c>
      <c r="F211" s="129">
        <f>+'RVK SVÆDI'!F188</f>
        <v>0</v>
      </c>
      <c r="G211" s="176"/>
      <c r="H211" s="176"/>
      <c r="I211" s="176"/>
      <c r="J211" s="177"/>
      <c r="K211" s="129"/>
      <c r="L211" s="178"/>
      <c r="M211" s="129"/>
      <c r="N211" s="178"/>
      <c r="O211" s="178"/>
      <c r="P211" s="129"/>
      <c r="Q211" s="179"/>
      <c r="R211" s="179"/>
      <c r="S211" s="179"/>
      <c r="T211" s="179"/>
      <c r="U211" s="179"/>
      <c r="V211" s="180"/>
      <c r="W211" s="180"/>
      <c r="X211" s="180"/>
      <c r="Y211" s="180"/>
      <c r="Z211" s="180"/>
      <c r="AA211" s="129"/>
    </row>
    <row r="212" spans="1:16381" s="7" customFormat="1" ht="21" customHeight="1" x14ac:dyDescent="0.25">
      <c r="A212" s="412"/>
      <c r="B212" s="1"/>
      <c r="C212" s="7" t="str">
        <f>+'RVK SVÆDI'!C189</f>
        <v>Grafarholt-þétting byggðar (Klausturstígur-Kapellustígur)</v>
      </c>
      <c r="D212" s="8">
        <v>1</v>
      </c>
      <c r="E212" s="6" t="str">
        <f>+'RVK SVÆDI'!E189</f>
        <v>Úlfarsárdalur</v>
      </c>
      <c r="F212" s="6" t="str">
        <f>+'RVK SVÆDI'!F189</f>
        <v>Sæmundarskóli</v>
      </c>
      <c r="G212" s="112">
        <v>56</v>
      </c>
      <c r="H212" s="112">
        <v>0</v>
      </c>
      <c r="I212" s="112">
        <v>56</v>
      </c>
      <c r="J212" s="6">
        <f t="shared" si="89"/>
        <v>0</v>
      </c>
      <c r="K212" s="6"/>
      <c r="L212" s="112">
        <v>2</v>
      </c>
      <c r="M212" s="6">
        <f t="shared" si="97"/>
        <v>24</v>
      </c>
      <c r="N212" s="112">
        <v>0</v>
      </c>
      <c r="O212" s="112">
        <v>0</v>
      </c>
      <c r="P212" s="6">
        <f t="shared" ref="P212:P219" si="131">+N212+O212+18</f>
        <v>18</v>
      </c>
      <c r="Q212" s="113">
        <f t="shared" ref="Q212:U217" si="132">IFERROR(IF(AND((Q$238-$P212)/$M212&gt;0,(Q$238-$P212)/$M212&lt;1),(Q$238-$P212)/$M212,IF((Q$238-$P212)/$M212&gt;0,1,0)),0)</f>
        <v>0</v>
      </c>
      <c r="R212" s="113">
        <f t="shared" si="132"/>
        <v>0</v>
      </c>
      <c r="S212" s="113">
        <f t="shared" si="132"/>
        <v>0.5</v>
      </c>
      <c r="T212" s="113">
        <f t="shared" si="132"/>
        <v>1</v>
      </c>
      <c r="U212" s="113">
        <f t="shared" si="132"/>
        <v>1</v>
      </c>
      <c r="V212" s="114"/>
      <c r="W212" s="114"/>
      <c r="X212" s="114">
        <f t="shared" si="126"/>
        <v>28</v>
      </c>
      <c r="Y212" s="114">
        <f t="shared" si="127"/>
        <v>28</v>
      </c>
      <c r="Z212" s="114">
        <f t="shared" si="128"/>
        <v>0</v>
      </c>
      <c r="AA212" s="6"/>
    </row>
    <row r="213" spans="1:16381" s="7" customFormat="1" ht="21" customHeight="1" x14ac:dyDescent="0.25">
      <c r="A213" s="412"/>
      <c r="B213" s="1"/>
      <c r="C213" s="365" t="str">
        <f>+'RVK SVÆDI'!C190</f>
        <v>Grafarholt-þétting byggðar (M9 og hverfiskj.)</v>
      </c>
      <c r="D213" s="8">
        <v>4</v>
      </c>
      <c r="E213" s="6" t="str">
        <f>+'RVK SVÆDI'!E190</f>
        <v>Úlfarsárdalur</v>
      </c>
      <c r="F213" s="6" t="str">
        <f>+'RVK SVÆDI'!F190</f>
        <v>Ingunnarskóli</v>
      </c>
      <c r="G213" s="112">
        <v>50</v>
      </c>
      <c r="H213" s="112">
        <v>0</v>
      </c>
      <c r="I213" s="112">
        <v>0</v>
      </c>
      <c r="J213" s="6">
        <f t="shared" si="89"/>
        <v>0</v>
      </c>
      <c r="K213" s="6"/>
      <c r="L213" s="112">
        <v>1.5</v>
      </c>
      <c r="M213" s="6">
        <f t="shared" si="97"/>
        <v>18</v>
      </c>
      <c r="N213" s="112">
        <v>60</v>
      </c>
      <c r="O213" s="112">
        <v>14</v>
      </c>
      <c r="P213" s="6">
        <f t="shared" si="131"/>
        <v>92</v>
      </c>
      <c r="Q213" s="113">
        <f t="shared" si="132"/>
        <v>0</v>
      </c>
      <c r="R213" s="113">
        <f t="shared" si="132"/>
        <v>0</v>
      </c>
      <c r="S213" s="113">
        <f t="shared" si="132"/>
        <v>0</v>
      </c>
      <c r="T213" s="113">
        <f t="shared" si="132"/>
        <v>0</v>
      </c>
      <c r="U213" s="113">
        <f t="shared" si="132"/>
        <v>0</v>
      </c>
      <c r="V213" s="114"/>
      <c r="W213" s="114"/>
      <c r="X213" s="114">
        <f t="shared" si="126"/>
        <v>0</v>
      </c>
      <c r="Y213" s="114">
        <f t="shared" si="127"/>
        <v>0</v>
      </c>
      <c r="Z213" s="114">
        <f t="shared" si="128"/>
        <v>0</v>
      </c>
      <c r="AA213" s="6"/>
    </row>
    <row r="214" spans="1:16381" s="7" customFormat="1" ht="21" customHeight="1" x14ac:dyDescent="0.25">
      <c r="A214" s="412"/>
      <c r="B214" s="1"/>
      <c r="C214" s="174" t="str">
        <f>+'RVK SVÆDI'!C191</f>
        <v>Reynisvatnsás</v>
      </c>
      <c r="D214" s="175">
        <v>1</v>
      </c>
      <c r="E214" s="129" t="str">
        <f>+'RVK SVÆDI'!E191</f>
        <v>Úlfarsárdalur</v>
      </c>
      <c r="F214" s="176" t="str">
        <f>+'RVK SVÆDI'!F191</f>
        <v>Sæmundarskóli</v>
      </c>
      <c r="G214" s="176">
        <v>8</v>
      </c>
      <c r="H214" s="176">
        <v>8</v>
      </c>
      <c r="I214" s="177">
        <v>0</v>
      </c>
      <c r="J214" s="129">
        <f t="shared" si="89"/>
        <v>0</v>
      </c>
      <c r="K214" s="178"/>
      <c r="L214" s="129"/>
      <c r="M214" s="178"/>
      <c r="N214" s="178"/>
      <c r="O214" s="129"/>
      <c r="P214" s="179"/>
      <c r="Q214" s="179"/>
      <c r="R214" s="179"/>
      <c r="S214" s="179"/>
      <c r="T214" s="179"/>
      <c r="U214" s="180"/>
      <c r="V214" s="180"/>
      <c r="W214" s="180"/>
      <c r="X214" s="129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1"/>
      <c r="BX214" s="181"/>
      <c r="BY214" s="181"/>
      <c r="BZ214" s="181"/>
      <c r="CA214" s="181"/>
      <c r="CB214" s="181"/>
      <c r="CC214" s="181"/>
      <c r="CD214" s="181"/>
      <c r="CE214" s="181"/>
      <c r="CF214" s="181"/>
      <c r="CG214" s="181"/>
      <c r="CH214" s="181"/>
      <c r="CI214" s="181"/>
      <c r="CJ214" s="181"/>
      <c r="CK214" s="181"/>
      <c r="CL214" s="181"/>
      <c r="CM214" s="181"/>
      <c r="CN214" s="181"/>
      <c r="CO214" s="181"/>
      <c r="CP214" s="181"/>
      <c r="CQ214" s="181"/>
      <c r="CR214" s="181"/>
      <c r="CS214" s="181"/>
      <c r="CT214" s="181"/>
      <c r="CU214" s="181"/>
      <c r="CV214" s="181"/>
      <c r="CW214" s="181"/>
      <c r="CX214" s="181"/>
      <c r="CY214" s="181"/>
      <c r="CZ214" s="181"/>
      <c r="DA214" s="181"/>
      <c r="DB214" s="181"/>
      <c r="DC214" s="181"/>
      <c r="DD214" s="181"/>
      <c r="DE214" s="181"/>
      <c r="DF214" s="181"/>
      <c r="DG214" s="181"/>
      <c r="DH214" s="181"/>
      <c r="DI214" s="181"/>
      <c r="DJ214" s="181"/>
      <c r="DK214" s="181"/>
      <c r="DL214" s="181"/>
      <c r="DM214" s="181"/>
      <c r="DN214" s="181"/>
      <c r="DO214" s="181"/>
      <c r="DP214" s="181"/>
      <c r="DQ214" s="181"/>
      <c r="DR214" s="181"/>
      <c r="DS214" s="181"/>
      <c r="DT214" s="181"/>
      <c r="DU214" s="181"/>
      <c r="DV214" s="181"/>
      <c r="DW214" s="181"/>
      <c r="DX214" s="181"/>
      <c r="DY214" s="181"/>
      <c r="DZ214" s="181"/>
      <c r="EA214" s="181"/>
      <c r="EB214" s="181"/>
      <c r="EC214" s="181"/>
      <c r="ED214" s="181"/>
      <c r="EE214" s="181"/>
      <c r="EF214" s="181"/>
      <c r="EG214" s="181"/>
      <c r="EH214" s="181"/>
      <c r="EI214" s="181"/>
      <c r="EJ214" s="181"/>
      <c r="EK214" s="181"/>
      <c r="EL214" s="181"/>
      <c r="EM214" s="181"/>
      <c r="EN214" s="181"/>
      <c r="EO214" s="181"/>
      <c r="EP214" s="181"/>
      <c r="EQ214" s="181"/>
      <c r="ER214" s="181"/>
      <c r="ES214" s="181"/>
      <c r="ET214" s="181"/>
      <c r="EU214" s="181"/>
      <c r="EV214" s="181"/>
      <c r="EW214" s="181"/>
      <c r="EX214" s="181"/>
      <c r="EY214" s="181"/>
      <c r="EZ214" s="181"/>
      <c r="FA214" s="181"/>
      <c r="FB214" s="181"/>
      <c r="FC214" s="181"/>
      <c r="FD214" s="181"/>
      <c r="FE214" s="181"/>
      <c r="FF214" s="181"/>
      <c r="FG214" s="181"/>
      <c r="FH214" s="181"/>
      <c r="FI214" s="181"/>
      <c r="FJ214" s="181"/>
      <c r="FK214" s="181"/>
      <c r="FL214" s="181"/>
      <c r="FM214" s="181"/>
      <c r="FN214" s="181"/>
      <c r="FO214" s="181"/>
      <c r="FP214" s="181"/>
      <c r="FQ214" s="181"/>
      <c r="FR214" s="181"/>
      <c r="FS214" s="181"/>
      <c r="FT214" s="181"/>
      <c r="FU214" s="181"/>
      <c r="FV214" s="181"/>
      <c r="FW214" s="181"/>
      <c r="FX214" s="181"/>
      <c r="FY214" s="181"/>
      <c r="FZ214" s="181"/>
      <c r="GA214" s="181"/>
      <c r="GB214" s="181"/>
      <c r="GC214" s="181"/>
      <c r="GD214" s="181"/>
      <c r="GE214" s="181"/>
      <c r="GF214" s="181"/>
      <c r="GG214" s="181"/>
      <c r="GH214" s="181"/>
      <c r="GI214" s="181"/>
      <c r="GJ214" s="181"/>
      <c r="GK214" s="181"/>
      <c r="GL214" s="181"/>
      <c r="GM214" s="181"/>
      <c r="GN214" s="181"/>
      <c r="GO214" s="181"/>
      <c r="GP214" s="181"/>
      <c r="GQ214" s="181"/>
      <c r="GR214" s="181"/>
      <c r="GS214" s="181"/>
      <c r="GT214" s="181"/>
      <c r="GU214" s="181"/>
      <c r="GV214" s="181"/>
      <c r="GW214" s="181"/>
      <c r="GX214" s="181"/>
      <c r="GY214" s="181"/>
      <c r="GZ214" s="181"/>
      <c r="HA214" s="181"/>
      <c r="HB214" s="181"/>
      <c r="HC214" s="181"/>
      <c r="HD214" s="181"/>
      <c r="HE214" s="181"/>
      <c r="HF214" s="181"/>
      <c r="HG214" s="181"/>
      <c r="HH214" s="181"/>
      <c r="HI214" s="181"/>
      <c r="HJ214" s="181"/>
      <c r="HK214" s="181"/>
      <c r="HL214" s="181"/>
      <c r="HM214" s="181"/>
      <c r="HN214" s="181"/>
      <c r="HO214" s="181"/>
      <c r="HP214" s="181"/>
      <c r="HQ214" s="181"/>
      <c r="HR214" s="181"/>
      <c r="HS214" s="181"/>
      <c r="HT214" s="181"/>
      <c r="HU214" s="181"/>
      <c r="HV214" s="181"/>
      <c r="HW214" s="181"/>
      <c r="HX214" s="181"/>
      <c r="HY214" s="181"/>
      <c r="HZ214" s="181"/>
      <c r="IA214" s="181"/>
      <c r="IB214" s="181"/>
      <c r="IC214" s="181"/>
      <c r="ID214" s="181"/>
      <c r="IE214" s="181"/>
      <c r="IF214" s="181"/>
      <c r="IG214" s="181"/>
      <c r="IH214" s="181"/>
      <c r="II214" s="181"/>
      <c r="IJ214" s="181"/>
      <c r="IK214" s="181"/>
      <c r="IL214" s="181"/>
      <c r="IM214" s="181"/>
      <c r="IN214" s="181"/>
      <c r="IO214" s="181"/>
      <c r="IP214" s="181"/>
      <c r="IQ214" s="181"/>
      <c r="IR214" s="181"/>
      <c r="IS214" s="181"/>
      <c r="IT214" s="181"/>
      <c r="IU214" s="181"/>
      <c r="IV214" s="181"/>
      <c r="IW214" s="181"/>
      <c r="IX214" s="181"/>
      <c r="IY214" s="181"/>
      <c r="IZ214" s="181"/>
      <c r="JA214" s="181"/>
      <c r="JB214" s="181"/>
      <c r="JC214" s="181"/>
      <c r="JD214" s="181"/>
      <c r="JE214" s="181"/>
      <c r="JF214" s="181"/>
      <c r="JG214" s="181"/>
      <c r="JH214" s="181"/>
      <c r="JI214" s="181"/>
      <c r="JJ214" s="181"/>
      <c r="JK214" s="181"/>
      <c r="JL214" s="181"/>
      <c r="JM214" s="181"/>
      <c r="JN214" s="181"/>
      <c r="JO214" s="181"/>
      <c r="JP214" s="181"/>
      <c r="JQ214" s="181"/>
      <c r="JR214" s="181"/>
      <c r="JS214" s="181"/>
      <c r="JT214" s="181"/>
      <c r="JU214" s="181"/>
      <c r="JV214" s="181"/>
      <c r="JW214" s="181"/>
      <c r="JX214" s="181"/>
      <c r="JY214" s="181"/>
      <c r="JZ214" s="181"/>
      <c r="KA214" s="181"/>
      <c r="KB214" s="181"/>
      <c r="KC214" s="181"/>
      <c r="KD214" s="181"/>
      <c r="KE214" s="181"/>
      <c r="KF214" s="181"/>
      <c r="KG214" s="181"/>
      <c r="KH214" s="181"/>
      <c r="KI214" s="181"/>
      <c r="KJ214" s="181"/>
      <c r="KK214" s="181"/>
      <c r="KL214" s="181"/>
      <c r="KM214" s="181"/>
      <c r="KN214" s="181"/>
      <c r="KO214" s="181"/>
      <c r="KP214" s="181"/>
      <c r="KQ214" s="181"/>
      <c r="KR214" s="181"/>
      <c r="KS214" s="181"/>
      <c r="KT214" s="181"/>
      <c r="KU214" s="181"/>
      <c r="KV214" s="181"/>
      <c r="KW214" s="181"/>
      <c r="KX214" s="181"/>
      <c r="KY214" s="181"/>
      <c r="KZ214" s="181"/>
      <c r="LA214" s="181"/>
      <c r="LB214" s="181"/>
      <c r="LC214" s="181"/>
      <c r="LD214" s="181"/>
      <c r="LE214" s="181"/>
      <c r="LF214" s="181"/>
      <c r="LG214" s="181"/>
      <c r="LH214" s="181"/>
      <c r="LI214" s="181"/>
      <c r="LJ214" s="181"/>
      <c r="LK214" s="181"/>
      <c r="LL214" s="181"/>
      <c r="LM214" s="181"/>
      <c r="LN214" s="181"/>
      <c r="LO214" s="181"/>
      <c r="LP214" s="181"/>
      <c r="LQ214" s="181"/>
      <c r="LR214" s="181"/>
      <c r="LS214" s="181"/>
      <c r="LT214" s="181"/>
      <c r="LU214" s="181"/>
      <c r="LV214" s="181"/>
      <c r="LW214" s="181"/>
      <c r="LX214" s="181"/>
      <c r="LY214" s="181"/>
      <c r="LZ214" s="181"/>
      <c r="MA214" s="181"/>
      <c r="MB214" s="181"/>
      <c r="MC214" s="181"/>
      <c r="MD214" s="181"/>
      <c r="ME214" s="181"/>
      <c r="MF214" s="181"/>
      <c r="MG214" s="181"/>
      <c r="MH214" s="181"/>
      <c r="MI214" s="181"/>
      <c r="MJ214" s="181"/>
      <c r="MK214" s="181"/>
      <c r="ML214" s="181"/>
      <c r="MM214" s="181"/>
      <c r="MN214" s="181"/>
      <c r="MO214" s="181"/>
      <c r="MP214" s="181"/>
      <c r="MQ214" s="181"/>
      <c r="MR214" s="181"/>
      <c r="MS214" s="181"/>
      <c r="MT214" s="181"/>
      <c r="MU214" s="181"/>
      <c r="MV214" s="181"/>
      <c r="MW214" s="181"/>
      <c r="MX214" s="181"/>
      <c r="MY214" s="181"/>
      <c r="MZ214" s="181"/>
      <c r="NA214" s="181"/>
      <c r="NB214" s="181"/>
      <c r="NC214" s="181"/>
      <c r="ND214" s="181"/>
      <c r="NE214" s="181"/>
      <c r="NF214" s="181"/>
      <c r="NG214" s="181"/>
      <c r="NH214" s="181"/>
      <c r="NI214" s="181"/>
      <c r="NJ214" s="181"/>
      <c r="NK214" s="181"/>
      <c r="NL214" s="181"/>
      <c r="NM214" s="181"/>
      <c r="NN214" s="181"/>
      <c r="NO214" s="181"/>
      <c r="NP214" s="181"/>
      <c r="NQ214" s="181"/>
      <c r="NR214" s="181"/>
      <c r="NS214" s="181"/>
      <c r="NT214" s="181"/>
      <c r="NU214" s="181"/>
      <c r="NV214" s="181"/>
      <c r="NW214" s="181"/>
      <c r="NX214" s="181"/>
      <c r="NY214" s="181"/>
      <c r="NZ214" s="181"/>
      <c r="OA214" s="181"/>
      <c r="OB214" s="181"/>
      <c r="OC214" s="181"/>
      <c r="OD214" s="181"/>
      <c r="OE214" s="181"/>
      <c r="OF214" s="181"/>
      <c r="OG214" s="181"/>
      <c r="OH214" s="181"/>
      <c r="OI214" s="181"/>
      <c r="OJ214" s="181"/>
      <c r="OK214" s="181"/>
      <c r="OL214" s="181"/>
      <c r="OM214" s="181"/>
      <c r="ON214" s="181"/>
      <c r="OO214" s="181"/>
      <c r="OP214" s="181"/>
      <c r="OQ214" s="181"/>
      <c r="OR214" s="181"/>
      <c r="OS214" s="181"/>
      <c r="OT214" s="181"/>
      <c r="OU214" s="181"/>
      <c r="OV214" s="181"/>
      <c r="OW214" s="181"/>
      <c r="OX214" s="181"/>
      <c r="OY214" s="181"/>
      <c r="OZ214" s="181"/>
      <c r="PA214" s="181"/>
      <c r="PB214" s="181"/>
      <c r="PC214" s="181"/>
      <c r="PD214" s="181"/>
      <c r="PE214" s="181"/>
      <c r="PF214" s="181"/>
      <c r="PG214" s="181"/>
      <c r="PH214" s="181"/>
      <c r="PI214" s="181"/>
      <c r="PJ214" s="181"/>
      <c r="PK214" s="181"/>
      <c r="PL214" s="181"/>
      <c r="PM214" s="181"/>
      <c r="PN214" s="181"/>
      <c r="PO214" s="181"/>
      <c r="PP214" s="181"/>
      <c r="PQ214" s="181"/>
      <c r="PR214" s="181"/>
      <c r="PS214" s="181"/>
      <c r="PT214" s="181"/>
      <c r="PU214" s="181"/>
      <c r="PV214" s="181"/>
      <c r="PW214" s="181"/>
      <c r="PX214" s="181"/>
      <c r="PY214" s="181"/>
      <c r="PZ214" s="181"/>
      <c r="QA214" s="181"/>
      <c r="QB214" s="181"/>
      <c r="QC214" s="181"/>
      <c r="QD214" s="181"/>
      <c r="QE214" s="181"/>
      <c r="QF214" s="181"/>
      <c r="QG214" s="181"/>
      <c r="QH214" s="181"/>
      <c r="QI214" s="181"/>
      <c r="QJ214" s="181"/>
      <c r="QK214" s="181"/>
      <c r="QL214" s="181"/>
      <c r="QM214" s="181"/>
      <c r="QN214" s="181"/>
      <c r="QO214" s="181"/>
      <c r="QP214" s="181"/>
      <c r="QQ214" s="181"/>
      <c r="QR214" s="181"/>
      <c r="QS214" s="181"/>
      <c r="QT214" s="181"/>
      <c r="QU214" s="181"/>
      <c r="QV214" s="181"/>
      <c r="QW214" s="181"/>
      <c r="QX214" s="181"/>
      <c r="QY214" s="181"/>
      <c r="QZ214" s="181"/>
      <c r="RA214" s="181"/>
      <c r="RB214" s="181"/>
      <c r="RC214" s="181"/>
      <c r="RD214" s="181"/>
      <c r="RE214" s="181"/>
      <c r="RF214" s="181"/>
      <c r="RG214" s="181"/>
      <c r="RH214" s="181"/>
      <c r="RI214" s="181"/>
      <c r="RJ214" s="181"/>
      <c r="RK214" s="181"/>
      <c r="RL214" s="181"/>
      <c r="RM214" s="181"/>
      <c r="RN214" s="181"/>
      <c r="RO214" s="181"/>
      <c r="RP214" s="181"/>
      <c r="RQ214" s="181"/>
      <c r="RR214" s="181"/>
      <c r="RS214" s="181"/>
      <c r="RT214" s="181"/>
      <c r="RU214" s="181"/>
      <c r="RV214" s="181"/>
      <c r="RW214" s="181"/>
      <c r="RX214" s="181"/>
      <c r="RY214" s="181"/>
      <c r="RZ214" s="181"/>
      <c r="SA214" s="181"/>
      <c r="SB214" s="181"/>
      <c r="SC214" s="181"/>
      <c r="SD214" s="181"/>
      <c r="SE214" s="181"/>
      <c r="SF214" s="181"/>
      <c r="SG214" s="181"/>
      <c r="SH214" s="181"/>
      <c r="SI214" s="181"/>
      <c r="SJ214" s="181"/>
      <c r="SK214" s="181"/>
      <c r="SL214" s="181"/>
      <c r="SM214" s="181"/>
      <c r="SN214" s="181"/>
      <c r="SO214" s="181"/>
      <c r="SP214" s="181"/>
      <c r="SQ214" s="181"/>
      <c r="SR214" s="181"/>
      <c r="SS214" s="181"/>
      <c r="ST214" s="181"/>
      <c r="SU214" s="181"/>
      <c r="SV214" s="181"/>
      <c r="SW214" s="181"/>
      <c r="SX214" s="181"/>
      <c r="SY214" s="181"/>
      <c r="SZ214" s="181"/>
      <c r="TA214" s="181"/>
      <c r="TB214" s="181"/>
      <c r="TC214" s="181"/>
      <c r="TD214" s="181"/>
      <c r="TE214" s="181"/>
      <c r="TF214" s="181"/>
      <c r="TG214" s="181"/>
      <c r="TH214" s="181"/>
      <c r="TI214" s="181"/>
      <c r="TJ214" s="181"/>
      <c r="TK214" s="181"/>
      <c r="TL214" s="181"/>
      <c r="TM214" s="181"/>
      <c r="TN214" s="181"/>
      <c r="TO214" s="181"/>
      <c r="TP214" s="181"/>
      <c r="TQ214" s="181"/>
      <c r="TR214" s="181"/>
      <c r="TS214" s="181"/>
      <c r="TT214" s="181"/>
      <c r="TU214" s="181"/>
      <c r="TV214" s="181"/>
      <c r="TW214" s="181"/>
      <c r="TX214" s="181"/>
      <c r="TY214" s="181"/>
      <c r="TZ214" s="181"/>
      <c r="UA214" s="181"/>
      <c r="UB214" s="181"/>
      <c r="UC214" s="181"/>
      <c r="UD214" s="181"/>
      <c r="UE214" s="181"/>
      <c r="UF214" s="181"/>
      <c r="UG214" s="181"/>
      <c r="UH214" s="181"/>
      <c r="UI214" s="181"/>
      <c r="UJ214" s="181"/>
      <c r="UK214" s="181"/>
      <c r="UL214" s="181"/>
      <c r="UM214" s="181"/>
      <c r="UN214" s="181"/>
      <c r="UO214" s="181"/>
      <c r="UP214" s="181"/>
      <c r="UQ214" s="181"/>
      <c r="UR214" s="181"/>
      <c r="US214" s="181"/>
      <c r="UT214" s="181"/>
      <c r="UU214" s="181"/>
      <c r="UV214" s="181"/>
      <c r="UW214" s="181"/>
      <c r="UX214" s="181"/>
      <c r="UY214" s="181"/>
      <c r="UZ214" s="181"/>
      <c r="VA214" s="181"/>
      <c r="VB214" s="181"/>
      <c r="VC214" s="181"/>
      <c r="VD214" s="181"/>
      <c r="VE214" s="181"/>
      <c r="VF214" s="181"/>
      <c r="VG214" s="181"/>
      <c r="VH214" s="181"/>
      <c r="VI214" s="181"/>
      <c r="VJ214" s="181"/>
      <c r="VK214" s="181"/>
      <c r="VL214" s="181"/>
      <c r="VM214" s="181"/>
      <c r="VN214" s="181"/>
      <c r="VO214" s="181"/>
      <c r="VP214" s="181"/>
      <c r="VQ214" s="181"/>
      <c r="VR214" s="181"/>
      <c r="VS214" s="181"/>
      <c r="VT214" s="181"/>
      <c r="VU214" s="181"/>
      <c r="VV214" s="181"/>
      <c r="VW214" s="181"/>
      <c r="VX214" s="181"/>
      <c r="VY214" s="181"/>
      <c r="VZ214" s="181"/>
      <c r="WA214" s="181"/>
      <c r="WB214" s="181"/>
      <c r="WC214" s="181"/>
      <c r="WD214" s="181"/>
      <c r="WE214" s="181"/>
      <c r="WF214" s="181"/>
      <c r="WG214" s="181"/>
      <c r="WH214" s="181"/>
      <c r="WI214" s="181"/>
      <c r="WJ214" s="181"/>
      <c r="WK214" s="181"/>
      <c r="WL214" s="181"/>
      <c r="WM214" s="181"/>
      <c r="WN214" s="181"/>
      <c r="WO214" s="181"/>
      <c r="WP214" s="181"/>
      <c r="WQ214" s="181"/>
      <c r="WR214" s="181"/>
      <c r="WS214" s="181"/>
      <c r="WT214" s="181"/>
      <c r="WU214" s="181"/>
      <c r="WV214" s="181"/>
      <c r="WW214" s="181"/>
      <c r="WX214" s="181"/>
      <c r="WY214" s="181"/>
      <c r="WZ214" s="181"/>
      <c r="XA214" s="181"/>
      <c r="XB214" s="181"/>
      <c r="XC214" s="181"/>
      <c r="XD214" s="181"/>
      <c r="XE214" s="181"/>
      <c r="XF214" s="181"/>
      <c r="XG214" s="181"/>
      <c r="XH214" s="181"/>
      <c r="XI214" s="181"/>
      <c r="XJ214" s="181"/>
      <c r="XK214" s="181"/>
      <c r="XL214" s="181"/>
      <c r="XM214" s="181"/>
      <c r="XN214" s="181"/>
      <c r="XO214" s="181"/>
      <c r="XP214" s="181"/>
      <c r="XQ214" s="181"/>
      <c r="XR214" s="181"/>
      <c r="XS214" s="181"/>
      <c r="XT214" s="181"/>
      <c r="XU214" s="181"/>
      <c r="XV214" s="181"/>
      <c r="XW214" s="181"/>
      <c r="XX214" s="181"/>
      <c r="XY214" s="181"/>
      <c r="XZ214" s="181"/>
      <c r="YA214" s="181"/>
      <c r="YB214" s="181"/>
      <c r="YC214" s="181"/>
      <c r="YD214" s="181"/>
      <c r="YE214" s="181"/>
      <c r="YF214" s="181"/>
      <c r="YG214" s="181"/>
      <c r="YH214" s="181"/>
      <c r="YI214" s="181"/>
      <c r="YJ214" s="181"/>
      <c r="YK214" s="181"/>
      <c r="YL214" s="181"/>
      <c r="YM214" s="181"/>
      <c r="YN214" s="181"/>
      <c r="YO214" s="181"/>
      <c r="YP214" s="181"/>
      <c r="YQ214" s="181"/>
      <c r="YR214" s="181"/>
      <c r="YS214" s="181"/>
      <c r="YT214" s="181"/>
      <c r="YU214" s="181"/>
      <c r="YV214" s="181"/>
      <c r="YW214" s="181"/>
      <c r="YX214" s="181"/>
      <c r="YY214" s="181"/>
      <c r="YZ214" s="181"/>
      <c r="ZA214" s="181"/>
      <c r="ZB214" s="181"/>
      <c r="ZC214" s="181"/>
      <c r="ZD214" s="181"/>
      <c r="ZE214" s="181"/>
      <c r="ZF214" s="181"/>
      <c r="ZG214" s="181"/>
      <c r="ZH214" s="181"/>
      <c r="ZI214" s="181"/>
      <c r="ZJ214" s="181"/>
      <c r="ZK214" s="181"/>
      <c r="ZL214" s="181"/>
      <c r="ZM214" s="181"/>
      <c r="ZN214" s="181"/>
      <c r="ZO214" s="181"/>
      <c r="ZP214" s="181"/>
      <c r="ZQ214" s="181"/>
      <c r="ZR214" s="181"/>
      <c r="ZS214" s="181"/>
      <c r="ZT214" s="181"/>
      <c r="ZU214" s="181"/>
      <c r="ZV214" s="181"/>
      <c r="ZW214" s="181"/>
      <c r="ZX214" s="181"/>
      <c r="ZY214" s="181"/>
      <c r="ZZ214" s="181"/>
      <c r="AAA214" s="181"/>
      <c r="AAB214" s="181"/>
      <c r="AAC214" s="181"/>
      <c r="AAD214" s="181"/>
      <c r="AAE214" s="181"/>
      <c r="AAF214" s="181"/>
      <c r="AAG214" s="181"/>
      <c r="AAH214" s="181"/>
      <c r="AAI214" s="181"/>
      <c r="AAJ214" s="181"/>
      <c r="AAK214" s="181"/>
      <c r="AAL214" s="181"/>
      <c r="AAM214" s="181"/>
      <c r="AAN214" s="181"/>
      <c r="AAO214" s="181"/>
      <c r="AAP214" s="181"/>
      <c r="AAQ214" s="181"/>
      <c r="AAR214" s="181"/>
      <c r="AAS214" s="181"/>
      <c r="AAT214" s="181"/>
      <c r="AAU214" s="181"/>
      <c r="AAV214" s="181"/>
      <c r="AAW214" s="181"/>
      <c r="AAX214" s="181"/>
      <c r="AAY214" s="181"/>
      <c r="AAZ214" s="181"/>
      <c r="ABA214" s="181"/>
      <c r="ABB214" s="181"/>
      <c r="ABC214" s="181"/>
      <c r="ABD214" s="181"/>
      <c r="ABE214" s="181"/>
      <c r="ABF214" s="181"/>
      <c r="ABG214" s="181"/>
      <c r="ABH214" s="181"/>
      <c r="ABI214" s="181"/>
      <c r="ABJ214" s="181"/>
      <c r="ABK214" s="181"/>
      <c r="ABL214" s="181"/>
      <c r="ABM214" s="181"/>
      <c r="ABN214" s="181"/>
      <c r="ABO214" s="181"/>
      <c r="ABP214" s="181"/>
      <c r="ABQ214" s="181"/>
      <c r="ABR214" s="181"/>
      <c r="ABS214" s="181"/>
      <c r="ABT214" s="181"/>
      <c r="ABU214" s="181"/>
      <c r="ABV214" s="181"/>
      <c r="ABW214" s="181"/>
      <c r="ABX214" s="181"/>
      <c r="ABY214" s="181"/>
      <c r="ABZ214" s="181"/>
      <c r="ACA214" s="181"/>
      <c r="ACB214" s="181"/>
      <c r="ACC214" s="181"/>
      <c r="ACD214" s="181"/>
      <c r="ACE214" s="181"/>
      <c r="ACF214" s="181"/>
      <c r="ACG214" s="181"/>
      <c r="ACH214" s="181"/>
      <c r="ACI214" s="181"/>
      <c r="ACJ214" s="181"/>
      <c r="ACK214" s="181"/>
      <c r="ACL214" s="181"/>
      <c r="ACM214" s="181"/>
      <c r="ACN214" s="181"/>
      <c r="ACO214" s="181"/>
      <c r="ACP214" s="181"/>
      <c r="ACQ214" s="181"/>
      <c r="ACR214" s="181"/>
      <c r="ACS214" s="181"/>
      <c r="ACT214" s="181"/>
      <c r="ACU214" s="181"/>
      <c r="ACV214" s="181"/>
      <c r="ACW214" s="181"/>
      <c r="ACX214" s="181"/>
      <c r="ACY214" s="181"/>
      <c r="ACZ214" s="181"/>
      <c r="ADA214" s="181"/>
      <c r="ADB214" s="181"/>
      <c r="ADC214" s="181"/>
      <c r="ADD214" s="181"/>
      <c r="ADE214" s="181"/>
      <c r="ADF214" s="181"/>
      <c r="ADG214" s="181"/>
      <c r="ADH214" s="181"/>
      <c r="ADI214" s="181"/>
      <c r="ADJ214" s="181"/>
      <c r="ADK214" s="181"/>
      <c r="ADL214" s="181"/>
      <c r="ADM214" s="181"/>
      <c r="ADN214" s="181"/>
      <c r="ADO214" s="181"/>
      <c r="ADP214" s="181"/>
      <c r="ADQ214" s="181"/>
      <c r="ADR214" s="181"/>
      <c r="ADS214" s="181"/>
      <c r="ADT214" s="181"/>
      <c r="ADU214" s="181"/>
      <c r="ADV214" s="181"/>
      <c r="ADW214" s="181"/>
      <c r="ADX214" s="181"/>
      <c r="ADY214" s="181"/>
      <c r="ADZ214" s="181"/>
      <c r="AEA214" s="181"/>
      <c r="AEB214" s="181"/>
      <c r="AEC214" s="181"/>
      <c r="AED214" s="181"/>
      <c r="AEE214" s="181"/>
      <c r="AEF214" s="181"/>
      <c r="AEG214" s="181"/>
      <c r="AEH214" s="181"/>
      <c r="AEI214" s="181"/>
      <c r="AEJ214" s="181"/>
      <c r="AEK214" s="181"/>
      <c r="AEL214" s="181"/>
      <c r="AEM214" s="181"/>
      <c r="AEN214" s="181"/>
      <c r="AEO214" s="181"/>
      <c r="AEP214" s="181"/>
      <c r="AEQ214" s="181"/>
      <c r="AER214" s="181"/>
      <c r="AES214" s="181"/>
      <c r="AET214" s="181"/>
      <c r="AEU214" s="181"/>
      <c r="AEV214" s="181"/>
      <c r="AEW214" s="181"/>
      <c r="AEX214" s="181"/>
      <c r="AEY214" s="181"/>
      <c r="AEZ214" s="181"/>
      <c r="AFA214" s="181"/>
      <c r="AFB214" s="181"/>
      <c r="AFC214" s="181"/>
      <c r="AFD214" s="181"/>
      <c r="AFE214" s="181"/>
      <c r="AFF214" s="181"/>
      <c r="AFG214" s="181"/>
      <c r="AFH214" s="181"/>
      <c r="AFI214" s="181"/>
      <c r="AFJ214" s="181"/>
      <c r="AFK214" s="181"/>
      <c r="AFL214" s="181"/>
      <c r="AFM214" s="181"/>
      <c r="AFN214" s="181"/>
      <c r="AFO214" s="181"/>
      <c r="AFP214" s="181"/>
      <c r="AFQ214" s="181"/>
      <c r="AFR214" s="181"/>
      <c r="AFS214" s="181"/>
      <c r="AFT214" s="181"/>
      <c r="AFU214" s="181"/>
      <c r="AFV214" s="181"/>
      <c r="AFW214" s="181"/>
      <c r="AFX214" s="181"/>
      <c r="AFY214" s="181"/>
      <c r="AFZ214" s="181"/>
      <c r="AGA214" s="181"/>
      <c r="AGB214" s="181"/>
      <c r="AGC214" s="181"/>
      <c r="AGD214" s="181"/>
      <c r="AGE214" s="181"/>
      <c r="AGF214" s="181"/>
      <c r="AGG214" s="181"/>
      <c r="AGH214" s="181"/>
      <c r="AGI214" s="181"/>
      <c r="AGJ214" s="181"/>
      <c r="AGK214" s="181"/>
      <c r="AGL214" s="181"/>
      <c r="AGM214" s="181"/>
      <c r="AGN214" s="181"/>
      <c r="AGO214" s="181"/>
      <c r="AGP214" s="181"/>
      <c r="AGQ214" s="181"/>
      <c r="AGR214" s="181"/>
      <c r="AGS214" s="181"/>
      <c r="AGT214" s="181"/>
      <c r="AGU214" s="181"/>
      <c r="AGV214" s="181"/>
      <c r="AGW214" s="181"/>
      <c r="AGX214" s="181"/>
      <c r="AGY214" s="181"/>
      <c r="AGZ214" s="181"/>
      <c r="AHA214" s="181"/>
      <c r="AHB214" s="181"/>
      <c r="AHC214" s="181"/>
      <c r="AHD214" s="181"/>
      <c r="AHE214" s="181"/>
      <c r="AHF214" s="181"/>
      <c r="AHG214" s="181"/>
      <c r="AHH214" s="181"/>
      <c r="AHI214" s="181"/>
      <c r="AHJ214" s="181"/>
      <c r="AHK214" s="181"/>
      <c r="AHL214" s="181"/>
      <c r="AHM214" s="181"/>
      <c r="AHN214" s="181"/>
      <c r="AHO214" s="181"/>
      <c r="AHP214" s="181"/>
      <c r="AHQ214" s="181"/>
      <c r="AHR214" s="181"/>
      <c r="AHS214" s="181"/>
      <c r="AHT214" s="181"/>
      <c r="AHU214" s="181"/>
      <c r="AHV214" s="181"/>
      <c r="AHW214" s="181"/>
      <c r="AHX214" s="181"/>
      <c r="AHY214" s="181"/>
      <c r="AHZ214" s="181"/>
      <c r="AIA214" s="181"/>
      <c r="AIB214" s="181"/>
      <c r="AIC214" s="181"/>
      <c r="AID214" s="181"/>
      <c r="AIE214" s="181"/>
      <c r="AIF214" s="181"/>
      <c r="AIG214" s="181"/>
      <c r="AIH214" s="181"/>
      <c r="AII214" s="181"/>
      <c r="AIJ214" s="181"/>
      <c r="AIK214" s="181"/>
      <c r="AIL214" s="181"/>
      <c r="AIM214" s="181"/>
      <c r="AIN214" s="181"/>
      <c r="AIO214" s="181"/>
      <c r="AIP214" s="181"/>
      <c r="AIQ214" s="181"/>
      <c r="AIR214" s="181"/>
      <c r="AIS214" s="181"/>
      <c r="AIT214" s="181"/>
      <c r="AIU214" s="181"/>
      <c r="AIV214" s="181"/>
      <c r="AIW214" s="181"/>
      <c r="AIX214" s="181"/>
      <c r="AIY214" s="181"/>
      <c r="AIZ214" s="181"/>
      <c r="AJA214" s="181"/>
      <c r="AJB214" s="181"/>
      <c r="AJC214" s="181"/>
      <c r="AJD214" s="181"/>
      <c r="AJE214" s="181"/>
      <c r="AJF214" s="181"/>
      <c r="AJG214" s="181"/>
      <c r="AJH214" s="181"/>
      <c r="AJI214" s="181"/>
      <c r="AJJ214" s="181"/>
      <c r="AJK214" s="181"/>
      <c r="AJL214" s="181"/>
      <c r="AJM214" s="181"/>
      <c r="AJN214" s="181"/>
      <c r="AJO214" s="181"/>
      <c r="AJP214" s="181"/>
      <c r="AJQ214" s="181"/>
      <c r="AJR214" s="181"/>
      <c r="AJS214" s="181"/>
      <c r="AJT214" s="181"/>
      <c r="AJU214" s="181"/>
      <c r="AJV214" s="181"/>
      <c r="AJW214" s="181"/>
      <c r="AJX214" s="181"/>
      <c r="AJY214" s="181"/>
      <c r="AJZ214" s="181"/>
      <c r="AKA214" s="181"/>
      <c r="AKB214" s="181"/>
      <c r="AKC214" s="181"/>
      <c r="AKD214" s="181"/>
      <c r="AKE214" s="181"/>
      <c r="AKF214" s="181"/>
      <c r="AKG214" s="181"/>
      <c r="AKH214" s="181"/>
      <c r="AKI214" s="181"/>
      <c r="AKJ214" s="181"/>
      <c r="AKK214" s="181"/>
      <c r="AKL214" s="181"/>
      <c r="AKM214" s="181"/>
      <c r="AKN214" s="181"/>
      <c r="AKO214" s="181"/>
      <c r="AKP214" s="181"/>
      <c r="AKQ214" s="181"/>
      <c r="AKR214" s="181"/>
      <c r="AKS214" s="181"/>
      <c r="AKT214" s="181"/>
      <c r="AKU214" s="181"/>
      <c r="AKV214" s="181"/>
      <c r="AKW214" s="181"/>
      <c r="AKX214" s="181"/>
      <c r="AKY214" s="181"/>
      <c r="AKZ214" s="181"/>
      <c r="ALA214" s="181"/>
      <c r="ALB214" s="181"/>
      <c r="ALC214" s="181"/>
      <c r="ALD214" s="181"/>
      <c r="ALE214" s="181"/>
      <c r="ALF214" s="181"/>
      <c r="ALG214" s="181"/>
      <c r="ALH214" s="181"/>
      <c r="ALI214" s="181"/>
      <c r="ALJ214" s="181"/>
      <c r="ALK214" s="181"/>
      <c r="ALL214" s="181"/>
      <c r="ALM214" s="181"/>
      <c r="ALN214" s="181"/>
      <c r="ALO214" s="181"/>
      <c r="ALP214" s="181"/>
      <c r="ALQ214" s="181"/>
      <c r="ALR214" s="181"/>
      <c r="ALS214" s="181"/>
      <c r="ALT214" s="181"/>
      <c r="ALU214" s="181"/>
      <c r="ALV214" s="181"/>
      <c r="ALW214" s="181"/>
      <c r="ALX214" s="181"/>
      <c r="ALY214" s="181"/>
      <c r="ALZ214" s="181"/>
      <c r="AMA214" s="181"/>
      <c r="AMB214" s="181"/>
      <c r="AMC214" s="181"/>
      <c r="AMD214" s="181"/>
      <c r="AME214" s="181"/>
      <c r="AMF214" s="181"/>
      <c r="AMG214" s="181"/>
      <c r="AMH214" s="181"/>
      <c r="AMI214" s="181"/>
      <c r="AMJ214" s="181"/>
      <c r="AMK214" s="181"/>
      <c r="AML214" s="181"/>
      <c r="AMM214" s="181"/>
      <c r="AMN214" s="181"/>
      <c r="AMO214" s="181"/>
      <c r="AMP214" s="181"/>
      <c r="AMQ214" s="181"/>
      <c r="AMR214" s="181"/>
      <c r="AMS214" s="181"/>
      <c r="AMT214" s="181"/>
      <c r="AMU214" s="181"/>
      <c r="AMV214" s="181"/>
      <c r="AMW214" s="181"/>
      <c r="AMX214" s="181"/>
      <c r="AMY214" s="181"/>
      <c r="AMZ214" s="181"/>
      <c r="ANA214" s="181"/>
      <c r="ANB214" s="181"/>
      <c r="ANC214" s="181"/>
      <c r="AND214" s="181"/>
      <c r="ANE214" s="181"/>
      <c r="ANF214" s="181"/>
      <c r="ANG214" s="181"/>
      <c r="ANH214" s="181"/>
      <c r="ANI214" s="181"/>
      <c r="ANJ214" s="181"/>
      <c r="ANK214" s="181"/>
      <c r="ANL214" s="181"/>
      <c r="ANM214" s="181"/>
      <c r="ANN214" s="181"/>
      <c r="ANO214" s="181"/>
      <c r="ANP214" s="181"/>
      <c r="ANQ214" s="181"/>
      <c r="ANR214" s="181"/>
      <c r="ANS214" s="181"/>
      <c r="ANT214" s="181"/>
      <c r="ANU214" s="181"/>
      <c r="ANV214" s="181"/>
      <c r="ANW214" s="181"/>
      <c r="ANX214" s="181"/>
      <c r="ANY214" s="181"/>
      <c r="ANZ214" s="181"/>
      <c r="AOA214" s="181"/>
      <c r="AOB214" s="181"/>
      <c r="AOC214" s="181"/>
      <c r="AOD214" s="181"/>
      <c r="AOE214" s="181"/>
      <c r="AOF214" s="181"/>
      <c r="AOG214" s="181"/>
      <c r="AOH214" s="181"/>
      <c r="AOI214" s="181"/>
      <c r="AOJ214" s="181"/>
      <c r="AOK214" s="181"/>
      <c r="AOL214" s="181"/>
      <c r="AOM214" s="181"/>
      <c r="AON214" s="181"/>
      <c r="AOO214" s="181"/>
      <c r="AOP214" s="181"/>
      <c r="AOQ214" s="181"/>
      <c r="AOR214" s="181"/>
      <c r="AOS214" s="181"/>
      <c r="AOT214" s="181"/>
      <c r="AOU214" s="181"/>
      <c r="AOV214" s="181"/>
      <c r="AOW214" s="181"/>
      <c r="AOX214" s="181"/>
      <c r="AOY214" s="181"/>
      <c r="AOZ214" s="181"/>
      <c r="APA214" s="181"/>
      <c r="APB214" s="181"/>
      <c r="APC214" s="181"/>
      <c r="APD214" s="181"/>
      <c r="APE214" s="181"/>
      <c r="APF214" s="181"/>
      <c r="APG214" s="181"/>
      <c r="APH214" s="181"/>
      <c r="API214" s="181"/>
      <c r="APJ214" s="181"/>
      <c r="APK214" s="181"/>
      <c r="APL214" s="181"/>
      <c r="APM214" s="181"/>
      <c r="APN214" s="181"/>
      <c r="APO214" s="181"/>
      <c r="APP214" s="181"/>
      <c r="APQ214" s="181"/>
      <c r="APR214" s="181"/>
      <c r="APS214" s="181"/>
      <c r="APT214" s="181"/>
      <c r="APU214" s="181"/>
      <c r="APV214" s="181"/>
      <c r="APW214" s="181"/>
      <c r="APX214" s="181"/>
      <c r="APY214" s="181"/>
      <c r="APZ214" s="181"/>
      <c r="AQA214" s="181"/>
      <c r="AQB214" s="181"/>
      <c r="AQC214" s="181"/>
      <c r="AQD214" s="181"/>
      <c r="AQE214" s="181"/>
      <c r="AQF214" s="181"/>
      <c r="AQG214" s="181"/>
      <c r="AQH214" s="181"/>
      <c r="AQI214" s="181"/>
      <c r="AQJ214" s="181"/>
      <c r="AQK214" s="181"/>
      <c r="AQL214" s="181"/>
      <c r="AQM214" s="181"/>
      <c r="AQN214" s="181"/>
      <c r="AQO214" s="181"/>
      <c r="AQP214" s="181"/>
      <c r="AQQ214" s="181"/>
      <c r="AQR214" s="181"/>
      <c r="AQS214" s="181"/>
      <c r="AQT214" s="181"/>
      <c r="AQU214" s="181"/>
      <c r="AQV214" s="181"/>
      <c r="AQW214" s="181"/>
      <c r="AQX214" s="181"/>
      <c r="AQY214" s="181"/>
      <c r="AQZ214" s="181"/>
      <c r="ARA214" s="181"/>
      <c r="ARB214" s="181"/>
      <c r="ARC214" s="181"/>
      <c r="ARD214" s="181"/>
      <c r="ARE214" s="181"/>
      <c r="ARF214" s="181"/>
      <c r="ARG214" s="181"/>
      <c r="ARH214" s="181"/>
      <c r="ARI214" s="181"/>
      <c r="ARJ214" s="181"/>
      <c r="ARK214" s="181"/>
      <c r="ARL214" s="181"/>
      <c r="ARM214" s="181"/>
      <c r="ARN214" s="181"/>
      <c r="ARO214" s="181"/>
      <c r="ARP214" s="181"/>
      <c r="ARQ214" s="181"/>
      <c r="ARR214" s="181"/>
      <c r="ARS214" s="181"/>
      <c r="ART214" s="181"/>
      <c r="ARU214" s="181"/>
      <c r="ARV214" s="181"/>
      <c r="ARW214" s="181"/>
      <c r="ARX214" s="181"/>
      <c r="ARY214" s="181"/>
      <c r="ARZ214" s="181"/>
      <c r="ASA214" s="181"/>
      <c r="ASB214" s="181"/>
      <c r="ASC214" s="181"/>
      <c r="ASD214" s="181"/>
      <c r="ASE214" s="181"/>
      <c r="ASF214" s="181"/>
      <c r="ASG214" s="181"/>
      <c r="ASH214" s="181"/>
      <c r="ASI214" s="181"/>
      <c r="ASJ214" s="181"/>
      <c r="ASK214" s="181"/>
      <c r="ASL214" s="181"/>
      <c r="ASM214" s="181"/>
      <c r="ASN214" s="181"/>
      <c r="ASO214" s="181"/>
      <c r="ASP214" s="181"/>
      <c r="ASQ214" s="181"/>
      <c r="ASR214" s="181"/>
      <c r="ASS214" s="181"/>
      <c r="AST214" s="181"/>
      <c r="ASU214" s="181"/>
      <c r="ASV214" s="181"/>
      <c r="ASW214" s="181"/>
      <c r="ASX214" s="181"/>
      <c r="ASY214" s="181"/>
      <c r="ASZ214" s="181"/>
      <c r="ATA214" s="181"/>
      <c r="ATB214" s="181"/>
      <c r="ATC214" s="181"/>
      <c r="ATD214" s="181"/>
      <c r="ATE214" s="181"/>
      <c r="ATF214" s="181"/>
      <c r="ATG214" s="181"/>
      <c r="ATH214" s="181"/>
      <c r="ATI214" s="181"/>
      <c r="ATJ214" s="181"/>
      <c r="ATK214" s="181"/>
      <c r="ATL214" s="181"/>
      <c r="ATM214" s="181"/>
      <c r="ATN214" s="181"/>
      <c r="ATO214" s="181"/>
      <c r="ATP214" s="181"/>
      <c r="ATQ214" s="181"/>
      <c r="ATR214" s="181"/>
      <c r="ATS214" s="181"/>
      <c r="ATT214" s="181"/>
      <c r="ATU214" s="181"/>
      <c r="ATV214" s="181"/>
      <c r="ATW214" s="181"/>
      <c r="ATX214" s="181"/>
      <c r="ATY214" s="181"/>
      <c r="ATZ214" s="181"/>
      <c r="AUA214" s="181"/>
      <c r="AUB214" s="181"/>
      <c r="AUC214" s="181"/>
      <c r="AUD214" s="181"/>
      <c r="AUE214" s="181"/>
      <c r="AUF214" s="181"/>
      <c r="AUG214" s="181"/>
      <c r="AUH214" s="181"/>
      <c r="AUI214" s="181"/>
      <c r="AUJ214" s="181"/>
      <c r="AUK214" s="181"/>
      <c r="AUL214" s="181"/>
      <c r="AUM214" s="181"/>
      <c r="AUN214" s="181"/>
      <c r="AUO214" s="181"/>
      <c r="AUP214" s="181"/>
      <c r="AUQ214" s="181"/>
      <c r="AUR214" s="181"/>
      <c r="AUS214" s="181"/>
      <c r="AUT214" s="181"/>
      <c r="AUU214" s="181"/>
      <c r="AUV214" s="181"/>
      <c r="AUW214" s="181"/>
      <c r="AUX214" s="181"/>
      <c r="AUY214" s="181"/>
      <c r="AUZ214" s="181"/>
      <c r="AVA214" s="181"/>
      <c r="AVB214" s="181"/>
      <c r="AVC214" s="181"/>
      <c r="AVD214" s="181"/>
      <c r="AVE214" s="181"/>
      <c r="AVF214" s="181"/>
      <c r="AVG214" s="181"/>
      <c r="AVH214" s="181"/>
      <c r="AVI214" s="181"/>
      <c r="AVJ214" s="181"/>
      <c r="AVK214" s="181"/>
      <c r="AVL214" s="181"/>
      <c r="AVM214" s="181"/>
      <c r="AVN214" s="181"/>
      <c r="AVO214" s="181"/>
      <c r="AVP214" s="181"/>
      <c r="AVQ214" s="181"/>
      <c r="AVR214" s="181"/>
      <c r="AVS214" s="181"/>
      <c r="AVT214" s="181"/>
      <c r="AVU214" s="181"/>
      <c r="AVV214" s="181"/>
      <c r="AVW214" s="181"/>
      <c r="AVX214" s="181"/>
      <c r="AVY214" s="181"/>
      <c r="AVZ214" s="181"/>
      <c r="AWA214" s="181"/>
      <c r="AWB214" s="181"/>
      <c r="AWC214" s="181"/>
      <c r="AWD214" s="181"/>
      <c r="AWE214" s="181"/>
      <c r="AWF214" s="181"/>
      <c r="AWG214" s="181"/>
      <c r="AWH214" s="181"/>
      <c r="AWI214" s="181"/>
      <c r="AWJ214" s="181"/>
      <c r="AWK214" s="181"/>
      <c r="AWL214" s="181"/>
      <c r="AWM214" s="181"/>
      <c r="AWN214" s="181"/>
      <c r="AWO214" s="181"/>
      <c r="AWP214" s="181"/>
      <c r="AWQ214" s="181"/>
      <c r="AWR214" s="181"/>
      <c r="AWS214" s="181"/>
      <c r="AWT214" s="181"/>
      <c r="AWU214" s="181"/>
      <c r="AWV214" s="181"/>
      <c r="AWW214" s="181"/>
      <c r="AWX214" s="181"/>
      <c r="AWY214" s="181"/>
      <c r="AWZ214" s="181"/>
      <c r="AXA214" s="181"/>
      <c r="AXB214" s="181"/>
      <c r="AXC214" s="181"/>
      <c r="AXD214" s="181"/>
      <c r="AXE214" s="181"/>
      <c r="AXF214" s="181"/>
      <c r="AXG214" s="181"/>
      <c r="AXH214" s="181"/>
      <c r="AXI214" s="181"/>
      <c r="AXJ214" s="181"/>
      <c r="AXK214" s="181"/>
      <c r="AXL214" s="181"/>
      <c r="AXM214" s="181"/>
      <c r="AXN214" s="181"/>
      <c r="AXO214" s="181"/>
      <c r="AXP214" s="181"/>
      <c r="AXQ214" s="181"/>
      <c r="AXR214" s="181"/>
      <c r="AXS214" s="181"/>
      <c r="AXT214" s="181"/>
      <c r="AXU214" s="181"/>
      <c r="AXV214" s="181"/>
      <c r="AXW214" s="181"/>
      <c r="AXX214" s="181"/>
      <c r="AXY214" s="181"/>
      <c r="AXZ214" s="181"/>
      <c r="AYA214" s="181"/>
      <c r="AYB214" s="181"/>
      <c r="AYC214" s="181"/>
      <c r="AYD214" s="181"/>
      <c r="AYE214" s="181"/>
      <c r="AYF214" s="181"/>
      <c r="AYG214" s="181"/>
      <c r="AYH214" s="181"/>
      <c r="AYI214" s="181"/>
      <c r="AYJ214" s="181"/>
      <c r="AYK214" s="181"/>
      <c r="AYL214" s="181"/>
      <c r="AYM214" s="181"/>
      <c r="AYN214" s="181"/>
      <c r="AYO214" s="181"/>
      <c r="AYP214" s="181"/>
      <c r="AYQ214" s="181"/>
      <c r="AYR214" s="181"/>
      <c r="AYS214" s="181"/>
      <c r="AYT214" s="181"/>
      <c r="AYU214" s="181"/>
      <c r="AYV214" s="181"/>
      <c r="AYW214" s="181"/>
      <c r="AYX214" s="181"/>
      <c r="AYY214" s="181"/>
      <c r="AYZ214" s="181"/>
      <c r="AZA214" s="181"/>
      <c r="AZB214" s="181"/>
      <c r="AZC214" s="181"/>
      <c r="AZD214" s="181"/>
      <c r="AZE214" s="181"/>
      <c r="AZF214" s="181"/>
      <c r="AZG214" s="181"/>
      <c r="AZH214" s="181"/>
      <c r="AZI214" s="181"/>
      <c r="AZJ214" s="181"/>
      <c r="AZK214" s="181"/>
      <c r="AZL214" s="181"/>
      <c r="AZM214" s="181"/>
      <c r="AZN214" s="181"/>
      <c r="AZO214" s="181"/>
      <c r="AZP214" s="181"/>
      <c r="AZQ214" s="181"/>
      <c r="AZR214" s="181"/>
      <c r="AZS214" s="181"/>
      <c r="AZT214" s="181"/>
      <c r="AZU214" s="181"/>
      <c r="AZV214" s="181"/>
      <c r="AZW214" s="181"/>
      <c r="AZX214" s="181"/>
      <c r="AZY214" s="181"/>
      <c r="AZZ214" s="181"/>
      <c r="BAA214" s="181"/>
      <c r="BAB214" s="181"/>
      <c r="BAC214" s="181"/>
      <c r="BAD214" s="181"/>
      <c r="BAE214" s="181"/>
      <c r="BAF214" s="181"/>
      <c r="BAG214" s="181"/>
      <c r="BAH214" s="181"/>
      <c r="BAI214" s="181"/>
      <c r="BAJ214" s="181"/>
      <c r="BAK214" s="181"/>
      <c r="BAL214" s="181"/>
      <c r="BAM214" s="181"/>
      <c r="BAN214" s="181"/>
      <c r="BAO214" s="181"/>
      <c r="BAP214" s="181"/>
      <c r="BAQ214" s="181"/>
      <c r="BAR214" s="181"/>
      <c r="BAS214" s="181"/>
      <c r="BAT214" s="181"/>
      <c r="BAU214" s="181"/>
      <c r="BAV214" s="181"/>
      <c r="BAW214" s="181"/>
      <c r="BAX214" s="181"/>
      <c r="BAY214" s="181"/>
      <c r="BAZ214" s="181"/>
      <c r="BBA214" s="181"/>
      <c r="BBB214" s="181"/>
      <c r="BBC214" s="181"/>
      <c r="BBD214" s="181"/>
      <c r="BBE214" s="181"/>
      <c r="BBF214" s="181"/>
      <c r="BBG214" s="181"/>
      <c r="BBH214" s="181"/>
      <c r="BBI214" s="181"/>
      <c r="BBJ214" s="181"/>
      <c r="BBK214" s="181"/>
      <c r="BBL214" s="181"/>
      <c r="BBM214" s="181"/>
      <c r="BBN214" s="181"/>
      <c r="BBO214" s="181"/>
      <c r="BBP214" s="181"/>
      <c r="BBQ214" s="181"/>
      <c r="BBR214" s="181"/>
      <c r="BBS214" s="181"/>
      <c r="BBT214" s="181"/>
      <c r="BBU214" s="181"/>
      <c r="BBV214" s="181"/>
      <c r="BBW214" s="181"/>
      <c r="BBX214" s="181"/>
      <c r="BBY214" s="181"/>
      <c r="BBZ214" s="181"/>
      <c r="BCA214" s="181"/>
      <c r="BCB214" s="181"/>
      <c r="BCC214" s="181"/>
      <c r="BCD214" s="181"/>
      <c r="BCE214" s="181"/>
      <c r="BCF214" s="181"/>
      <c r="BCG214" s="181"/>
      <c r="BCH214" s="181"/>
      <c r="BCI214" s="181"/>
      <c r="BCJ214" s="181"/>
      <c r="BCK214" s="181"/>
      <c r="BCL214" s="181"/>
      <c r="BCM214" s="181"/>
      <c r="BCN214" s="181"/>
      <c r="BCO214" s="181"/>
      <c r="BCP214" s="181"/>
      <c r="BCQ214" s="181"/>
      <c r="BCR214" s="181"/>
      <c r="BCS214" s="181"/>
      <c r="BCT214" s="181"/>
      <c r="BCU214" s="181"/>
      <c r="BCV214" s="181"/>
      <c r="BCW214" s="181"/>
      <c r="BCX214" s="181"/>
      <c r="BCY214" s="181"/>
      <c r="BCZ214" s="181"/>
      <c r="BDA214" s="181"/>
      <c r="BDB214" s="181"/>
      <c r="BDC214" s="181"/>
      <c r="BDD214" s="181"/>
      <c r="BDE214" s="181"/>
      <c r="BDF214" s="181"/>
      <c r="BDG214" s="181"/>
      <c r="BDH214" s="181"/>
      <c r="BDI214" s="181"/>
      <c r="BDJ214" s="181"/>
      <c r="BDK214" s="181"/>
      <c r="BDL214" s="181"/>
      <c r="BDM214" s="181"/>
      <c r="BDN214" s="181"/>
      <c r="BDO214" s="181"/>
      <c r="BDP214" s="181"/>
      <c r="BDQ214" s="181"/>
      <c r="BDR214" s="181"/>
      <c r="BDS214" s="181"/>
      <c r="BDT214" s="181"/>
      <c r="BDU214" s="181"/>
      <c r="BDV214" s="181"/>
      <c r="BDW214" s="181"/>
      <c r="BDX214" s="181"/>
      <c r="BDY214" s="181"/>
      <c r="BDZ214" s="181"/>
      <c r="BEA214" s="181"/>
      <c r="BEB214" s="181"/>
      <c r="BEC214" s="181"/>
      <c r="BED214" s="181"/>
      <c r="BEE214" s="181"/>
      <c r="BEF214" s="181"/>
      <c r="BEG214" s="181"/>
      <c r="BEH214" s="181"/>
      <c r="BEI214" s="181"/>
      <c r="BEJ214" s="181"/>
      <c r="BEK214" s="181"/>
      <c r="BEL214" s="181"/>
      <c r="BEM214" s="181"/>
      <c r="BEN214" s="181"/>
      <c r="BEO214" s="181"/>
      <c r="BEP214" s="181"/>
      <c r="BEQ214" s="181"/>
      <c r="BER214" s="181"/>
      <c r="BES214" s="181"/>
      <c r="BET214" s="181"/>
      <c r="BEU214" s="181"/>
      <c r="BEV214" s="181"/>
      <c r="BEW214" s="181"/>
      <c r="BEX214" s="181"/>
      <c r="BEY214" s="181"/>
      <c r="BEZ214" s="181"/>
      <c r="BFA214" s="181"/>
      <c r="BFB214" s="181"/>
      <c r="BFC214" s="181"/>
      <c r="BFD214" s="181"/>
      <c r="BFE214" s="181"/>
      <c r="BFF214" s="181"/>
      <c r="BFG214" s="181"/>
      <c r="BFH214" s="181"/>
      <c r="BFI214" s="181"/>
      <c r="BFJ214" s="181"/>
      <c r="BFK214" s="181"/>
      <c r="BFL214" s="181"/>
      <c r="BFM214" s="181"/>
      <c r="BFN214" s="181"/>
      <c r="BFO214" s="181"/>
      <c r="BFP214" s="181"/>
      <c r="BFQ214" s="181"/>
      <c r="BFR214" s="181"/>
      <c r="BFS214" s="181"/>
      <c r="BFT214" s="181"/>
      <c r="BFU214" s="181"/>
      <c r="BFV214" s="181"/>
      <c r="BFW214" s="181"/>
      <c r="BFX214" s="181"/>
      <c r="BFY214" s="181"/>
      <c r="BFZ214" s="181"/>
      <c r="BGA214" s="181"/>
      <c r="BGB214" s="181"/>
      <c r="BGC214" s="181"/>
      <c r="BGD214" s="181"/>
      <c r="BGE214" s="181"/>
      <c r="BGF214" s="181"/>
      <c r="BGG214" s="181"/>
      <c r="BGH214" s="181"/>
      <c r="BGI214" s="181"/>
      <c r="BGJ214" s="181"/>
      <c r="BGK214" s="181"/>
      <c r="BGL214" s="181"/>
      <c r="BGM214" s="181"/>
      <c r="BGN214" s="181"/>
      <c r="BGO214" s="181"/>
      <c r="BGP214" s="181"/>
      <c r="BGQ214" s="181"/>
      <c r="BGR214" s="181"/>
      <c r="BGS214" s="181"/>
      <c r="BGT214" s="181"/>
      <c r="BGU214" s="181"/>
      <c r="BGV214" s="181"/>
      <c r="BGW214" s="181"/>
      <c r="BGX214" s="181"/>
      <c r="BGY214" s="181"/>
      <c r="BGZ214" s="181"/>
      <c r="BHA214" s="181"/>
      <c r="BHB214" s="181"/>
      <c r="BHC214" s="181"/>
      <c r="BHD214" s="181"/>
      <c r="BHE214" s="181"/>
      <c r="BHF214" s="181"/>
      <c r="BHG214" s="181"/>
      <c r="BHH214" s="181"/>
      <c r="BHI214" s="181"/>
      <c r="BHJ214" s="181"/>
      <c r="BHK214" s="181"/>
      <c r="BHL214" s="181"/>
      <c r="BHM214" s="181"/>
      <c r="BHN214" s="181"/>
      <c r="BHO214" s="181"/>
      <c r="BHP214" s="181"/>
      <c r="BHQ214" s="181"/>
      <c r="BHR214" s="181"/>
      <c r="BHS214" s="181"/>
      <c r="BHT214" s="181"/>
      <c r="BHU214" s="181"/>
      <c r="BHV214" s="181"/>
      <c r="BHW214" s="181"/>
      <c r="BHX214" s="181"/>
      <c r="BHY214" s="181"/>
      <c r="BHZ214" s="181"/>
      <c r="BIA214" s="181"/>
      <c r="BIB214" s="181"/>
      <c r="BIC214" s="181"/>
      <c r="BID214" s="181"/>
      <c r="BIE214" s="181"/>
      <c r="BIF214" s="181"/>
      <c r="BIG214" s="181"/>
      <c r="BIH214" s="181"/>
      <c r="BII214" s="181"/>
      <c r="BIJ214" s="181"/>
      <c r="BIK214" s="181"/>
      <c r="BIL214" s="181"/>
      <c r="BIM214" s="181"/>
      <c r="BIN214" s="181"/>
      <c r="BIO214" s="181"/>
      <c r="BIP214" s="181"/>
      <c r="BIQ214" s="181"/>
      <c r="BIR214" s="181"/>
      <c r="BIS214" s="181"/>
      <c r="BIT214" s="181"/>
      <c r="BIU214" s="181"/>
      <c r="BIV214" s="181"/>
      <c r="BIW214" s="181"/>
      <c r="BIX214" s="181"/>
      <c r="BIY214" s="181"/>
      <c r="BIZ214" s="181"/>
      <c r="BJA214" s="181"/>
      <c r="BJB214" s="181"/>
      <c r="BJC214" s="181"/>
      <c r="BJD214" s="181"/>
      <c r="BJE214" s="181"/>
      <c r="BJF214" s="181"/>
      <c r="BJG214" s="181"/>
      <c r="BJH214" s="181"/>
      <c r="BJI214" s="181"/>
      <c r="BJJ214" s="181"/>
      <c r="BJK214" s="181"/>
      <c r="BJL214" s="181"/>
      <c r="BJM214" s="181"/>
      <c r="BJN214" s="181"/>
      <c r="BJO214" s="181"/>
      <c r="BJP214" s="181"/>
      <c r="BJQ214" s="181"/>
      <c r="BJR214" s="181"/>
      <c r="BJS214" s="181"/>
      <c r="BJT214" s="181"/>
      <c r="BJU214" s="181"/>
      <c r="BJV214" s="181"/>
      <c r="BJW214" s="181"/>
      <c r="BJX214" s="181"/>
      <c r="BJY214" s="181"/>
      <c r="BJZ214" s="181"/>
      <c r="BKA214" s="181"/>
      <c r="BKB214" s="181"/>
      <c r="BKC214" s="181"/>
      <c r="BKD214" s="181"/>
      <c r="BKE214" s="181"/>
      <c r="BKF214" s="181"/>
      <c r="BKG214" s="181"/>
      <c r="BKH214" s="181"/>
      <c r="BKI214" s="181"/>
      <c r="BKJ214" s="181"/>
      <c r="BKK214" s="181"/>
      <c r="BKL214" s="181"/>
      <c r="BKM214" s="181"/>
      <c r="BKN214" s="181"/>
      <c r="BKO214" s="181"/>
      <c r="BKP214" s="181"/>
      <c r="BKQ214" s="181"/>
      <c r="BKR214" s="181"/>
      <c r="BKS214" s="181"/>
      <c r="BKT214" s="181"/>
      <c r="BKU214" s="181"/>
      <c r="BKV214" s="181"/>
      <c r="BKW214" s="181"/>
      <c r="BKX214" s="181"/>
      <c r="BKY214" s="181"/>
      <c r="BKZ214" s="181"/>
      <c r="BLA214" s="181"/>
      <c r="BLB214" s="181"/>
      <c r="BLC214" s="181"/>
      <c r="BLD214" s="181"/>
      <c r="BLE214" s="181"/>
      <c r="BLF214" s="181"/>
      <c r="BLG214" s="181"/>
      <c r="BLH214" s="181"/>
      <c r="BLI214" s="181"/>
      <c r="BLJ214" s="181"/>
      <c r="BLK214" s="181"/>
      <c r="BLL214" s="181"/>
      <c r="BLM214" s="181"/>
      <c r="BLN214" s="181"/>
      <c r="BLO214" s="181"/>
      <c r="BLP214" s="181"/>
      <c r="BLQ214" s="181"/>
      <c r="BLR214" s="181"/>
      <c r="BLS214" s="181"/>
      <c r="BLT214" s="181"/>
      <c r="BLU214" s="181"/>
      <c r="BLV214" s="181"/>
      <c r="BLW214" s="181"/>
      <c r="BLX214" s="181"/>
      <c r="BLY214" s="181"/>
      <c r="BLZ214" s="181"/>
      <c r="BMA214" s="181"/>
      <c r="BMB214" s="181"/>
      <c r="BMC214" s="181"/>
      <c r="BMD214" s="181"/>
      <c r="BME214" s="181"/>
      <c r="BMF214" s="181"/>
      <c r="BMG214" s="181"/>
      <c r="BMH214" s="181"/>
      <c r="BMI214" s="181"/>
      <c r="BMJ214" s="181"/>
      <c r="BMK214" s="181"/>
      <c r="BML214" s="181"/>
      <c r="BMM214" s="181"/>
      <c r="BMN214" s="181"/>
      <c r="BMO214" s="181"/>
      <c r="BMP214" s="181"/>
      <c r="BMQ214" s="181"/>
      <c r="BMR214" s="181"/>
      <c r="BMS214" s="181"/>
      <c r="BMT214" s="181"/>
      <c r="BMU214" s="181"/>
      <c r="BMV214" s="181"/>
      <c r="BMW214" s="181"/>
      <c r="BMX214" s="181"/>
      <c r="BMY214" s="181"/>
      <c r="BMZ214" s="181"/>
      <c r="BNA214" s="181"/>
      <c r="BNB214" s="181"/>
      <c r="BNC214" s="181"/>
      <c r="BND214" s="181"/>
      <c r="BNE214" s="181"/>
      <c r="BNF214" s="181"/>
      <c r="BNG214" s="181"/>
      <c r="BNH214" s="181"/>
      <c r="BNI214" s="181"/>
      <c r="BNJ214" s="181"/>
      <c r="BNK214" s="181"/>
      <c r="BNL214" s="181"/>
      <c r="BNM214" s="181"/>
      <c r="BNN214" s="181"/>
      <c r="BNO214" s="181"/>
      <c r="BNP214" s="181"/>
      <c r="BNQ214" s="181"/>
      <c r="BNR214" s="181"/>
      <c r="BNS214" s="181"/>
      <c r="BNT214" s="181"/>
      <c r="BNU214" s="181"/>
      <c r="BNV214" s="181"/>
      <c r="BNW214" s="181"/>
      <c r="BNX214" s="181"/>
      <c r="BNY214" s="181"/>
      <c r="BNZ214" s="181"/>
      <c r="BOA214" s="181"/>
      <c r="BOB214" s="181"/>
      <c r="BOC214" s="181"/>
      <c r="BOD214" s="181"/>
      <c r="BOE214" s="181"/>
      <c r="BOF214" s="181"/>
      <c r="BOG214" s="181"/>
      <c r="BOH214" s="181"/>
      <c r="BOI214" s="181"/>
      <c r="BOJ214" s="181"/>
      <c r="BOK214" s="181"/>
      <c r="BOL214" s="181"/>
      <c r="BOM214" s="181"/>
      <c r="BON214" s="181"/>
      <c r="BOO214" s="181"/>
      <c r="BOP214" s="181"/>
      <c r="BOQ214" s="181"/>
      <c r="BOR214" s="181"/>
      <c r="BOS214" s="181"/>
      <c r="BOT214" s="181"/>
      <c r="BOU214" s="181"/>
      <c r="BOV214" s="181"/>
      <c r="BOW214" s="181"/>
      <c r="BOX214" s="181"/>
      <c r="BOY214" s="181"/>
      <c r="BOZ214" s="181"/>
      <c r="BPA214" s="181"/>
      <c r="BPB214" s="181"/>
      <c r="BPC214" s="181"/>
      <c r="BPD214" s="181"/>
      <c r="BPE214" s="181"/>
      <c r="BPF214" s="181"/>
      <c r="BPG214" s="181"/>
      <c r="BPH214" s="181"/>
      <c r="BPI214" s="181"/>
      <c r="BPJ214" s="181"/>
      <c r="BPK214" s="181"/>
      <c r="BPL214" s="181"/>
      <c r="BPM214" s="181"/>
      <c r="BPN214" s="181"/>
      <c r="BPO214" s="181"/>
      <c r="BPP214" s="181"/>
      <c r="BPQ214" s="181"/>
      <c r="BPR214" s="181"/>
      <c r="BPS214" s="181"/>
      <c r="BPT214" s="181"/>
      <c r="BPU214" s="181"/>
      <c r="BPV214" s="181"/>
      <c r="BPW214" s="181"/>
      <c r="BPX214" s="181"/>
      <c r="BPY214" s="181"/>
      <c r="BPZ214" s="181"/>
      <c r="BQA214" s="181"/>
      <c r="BQB214" s="181"/>
      <c r="BQC214" s="181"/>
      <c r="BQD214" s="181"/>
      <c r="BQE214" s="181"/>
      <c r="BQF214" s="181"/>
      <c r="BQG214" s="181"/>
      <c r="BQH214" s="181"/>
      <c r="BQI214" s="181"/>
      <c r="BQJ214" s="181"/>
      <c r="BQK214" s="181"/>
      <c r="BQL214" s="181"/>
      <c r="BQM214" s="181"/>
      <c r="BQN214" s="181"/>
      <c r="BQO214" s="181"/>
      <c r="BQP214" s="181"/>
      <c r="BQQ214" s="181"/>
      <c r="BQR214" s="181"/>
      <c r="BQS214" s="181"/>
      <c r="BQT214" s="181"/>
      <c r="BQU214" s="181"/>
      <c r="BQV214" s="181"/>
      <c r="BQW214" s="181"/>
      <c r="BQX214" s="181"/>
      <c r="BQY214" s="181"/>
      <c r="BQZ214" s="181"/>
      <c r="BRA214" s="181"/>
      <c r="BRB214" s="181"/>
      <c r="BRC214" s="181"/>
      <c r="BRD214" s="181"/>
      <c r="BRE214" s="181"/>
      <c r="BRF214" s="181"/>
      <c r="BRG214" s="181"/>
      <c r="BRH214" s="181"/>
      <c r="BRI214" s="181"/>
      <c r="BRJ214" s="181"/>
      <c r="BRK214" s="181"/>
      <c r="BRL214" s="181"/>
      <c r="BRM214" s="181"/>
      <c r="BRN214" s="181"/>
      <c r="BRO214" s="181"/>
      <c r="BRP214" s="181"/>
      <c r="BRQ214" s="181"/>
      <c r="BRR214" s="181"/>
      <c r="BRS214" s="181"/>
      <c r="BRT214" s="181"/>
      <c r="BRU214" s="181"/>
      <c r="BRV214" s="181"/>
      <c r="BRW214" s="181"/>
      <c r="BRX214" s="181"/>
      <c r="BRY214" s="181"/>
      <c r="BRZ214" s="181"/>
      <c r="BSA214" s="181"/>
      <c r="BSB214" s="181"/>
      <c r="BSC214" s="181"/>
      <c r="BSD214" s="181"/>
      <c r="BSE214" s="181"/>
      <c r="BSF214" s="181"/>
      <c r="BSG214" s="181"/>
      <c r="BSH214" s="181"/>
      <c r="BSI214" s="181"/>
      <c r="BSJ214" s="181"/>
      <c r="BSK214" s="181"/>
      <c r="BSL214" s="181"/>
      <c r="BSM214" s="181"/>
      <c r="BSN214" s="181"/>
      <c r="BSO214" s="181"/>
      <c r="BSP214" s="181"/>
      <c r="BSQ214" s="181"/>
      <c r="BSR214" s="181"/>
      <c r="BSS214" s="181"/>
      <c r="BST214" s="181"/>
      <c r="BSU214" s="181"/>
      <c r="BSV214" s="181"/>
      <c r="BSW214" s="181"/>
      <c r="BSX214" s="181"/>
      <c r="BSY214" s="181"/>
      <c r="BSZ214" s="181"/>
      <c r="BTA214" s="181"/>
      <c r="BTB214" s="181"/>
      <c r="BTC214" s="181"/>
      <c r="BTD214" s="181"/>
      <c r="BTE214" s="181"/>
      <c r="BTF214" s="181"/>
      <c r="BTG214" s="181"/>
      <c r="BTH214" s="181"/>
      <c r="BTI214" s="181"/>
      <c r="BTJ214" s="181"/>
      <c r="BTK214" s="181"/>
      <c r="BTL214" s="181"/>
      <c r="BTM214" s="181"/>
      <c r="BTN214" s="181"/>
      <c r="BTO214" s="181"/>
      <c r="BTP214" s="181"/>
      <c r="BTQ214" s="181"/>
      <c r="BTR214" s="181"/>
      <c r="BTS214" s="181"/>
      <c r="BTT214" s="181"/>
      <c r="BTU214" s="181"/>
      <c r="BTV214" s="181"/>
      <c r="BTW214" s="181"/>
      <c r="BTX214" s="181"/>
      <c r="BTY214" s="181"/>
      <c r="BTZ214" s="181"/>
      <c r="BUA214" s="181"/>
      <c r="BUB214" s="181"/>
      <c r="BUC214" s="181"/>
      <c r="BUD214" s="181"/>
      <c r="BUE214" s="181"/>
      <c r="BUF214" s="181"/>
      <c r="BUG214" s="181"/>
      <c r="BUH214" s="181"/>
      <c r="BUI214" s="181"/>
      <c r="BUJ214" s="181"/>
      <c r="BUK214" s="181"/>
      <c r="BUL214" s="181"/>
      <c r="BUM214" s="181"/>
      <c r="BUN214" s="181"/>
      <c r="BUO214" s="181"/>
      <c r="BUP214" s="181"/>
      <c r="BUQ214" s="181"/>
      <c r="BUR214" s="181"/>
      <c r="BUS214" s="181"/>
      <c r="BUT214" s="181"/>
      <c r="BUU214" s="181"/>
      <c r="BUV214" s="181"/>
      <c r="BUW214" s="181"/>
      <c r="BUX214" s="181"/>
      <c r="BUY214" s="181"/>
      <c r="BUZ214" s="181"/>
      <c r="BVA214" s="181"/>
      <c r="BVB214" s="181"/>
      <c r="BVC214" s="181"/>
      <c r="BVD214" s="181"/>
      <c r="BVE214" s="181"/>
      <c r="BVF214" s="181"/>
      <c r="BVG214" s="181"/>
      <c r="BVH214" s="181"/>
      <c r="BVI214" s="181"/>
      <c r="BVJ214" s="181"/>
      <c r="BVK214" s="181"/>
      <c r="BVL214" s="181"/>
      <c r="BVM214" s="181"/>
      <c r="BVN214" s="181"/>
      <c r="BVO214" s="181"/>
      <c r="BVP214" s="181"/>
      <c r="BVQ214" s="181"/>
      <c r="BVR214" s="181"/>
      <c r="BVS214" s="181"/>
      <c r="BVT214" s="181"/>
      <c r="BVU214" s="181"/>
      <c r="BVV214" s="181"/>
      <c r="BVW214" s="181"/>
      <c r="BVX214" s="181"/>
      <c r="BVY214" s="181"/>
      <c r="BVZ214" s="181"/>
      <c r="BWA214" s="181"/>
      <c r="BWB214" s="181"/>
      <c r="BWC214" s="181"/>
      <c r="BWD214" s="181"/>
      <c r="BWE214" s="181"/>
      <c r="BWF214" s="181"/>
      <c r="BWG214" s="181"/>
      <c r="BWH214" s="181"/>
      <c r="BWI214" s="181"/>
      <c r="BWJ214" s="181"/>
      <c r="BWK214" s="181"/>
      <c r="BWL214" s="181"/>
      <c r="BWM214" s="181"/>
      <c r="BWN214" s="181"/>
      <c r="BWO214" s="181"/>
      <c r="BWP214" s="181"/>
      <c r="BWQ214" s="181"/>
      <c r="BWR214" s="181"/>
      <c r="BWS214" s="181"/>
      <c r="BWT214" s="181"/>
      <c r="BWU214" s="181"/>
      <c r="BWV214" s="181"/>
      <c r="BWW214" s="181"/>
      <c r="BWX214" s="181"/>
      <c r="BWY214" s="181"/>
      <c r="BWZ214" s="181"/>
      <c r="BXA214" s="181"/>
      <c r="BXB214" s="181"/>
      <c r="BXC214" s="181"/>
      <c r="BXD214" s="181"/>
      <c r="BXE214" s="181"/>
      <c r="BXF214" s="181"/>
      <c r="BXG214" s="181"/>
      <c r="BXH214" s="181"/>
      <c r="BXI214" s="181"/>
      <c r="BXJ214" s="181"/>
      <c r="BXK214" s="181"/>
      <c r="BXL214" s="181"/>
      <c r="BXM214" s="181"/>
      <c r="BXN214" s="181"/>
      <c r="BXO214" s="181"/>
      <c r="BXP214" s="181"/>
      <c r="BXQ214" s="181"/>
      <c r="BXR214" s="181"/>
      <c r="BXS214" s="181"/>
      <c r="BXT214" s="181"/>
      <c r="BXU214" s="181"/>
      <c r="BXV214" s="181"/>
      <c r="BXW214" s="181"/>
      <c r="BXX214" s="181"/>
      <c r="BXY214" s="181"/>
      <c r="BXZ214" s="181"/>
      <c r="BYA214" s="181"/>
      <c r="BYB214" s="181"/>
      <c r="BYC214" s="181"/>
      <c r="BYD214" s="181"/>
      <c r="BYE214" s="181"/>
      <c r="BYF214" s="181"/>
      <c r="BYG214" s="181"/>
      <c r="BYH214" s="181"/>
      <c r="BYI214" s="181"/>
      <c r="BYJ214" s="181"/>
      <c r="BYK214" s="181"/>
      <c r="BYL214" s="181"/>
      <c r="BYM214" s="181"/>
      <c r="BYN214" s="181"/>
      <c r="BYO214" s="181"/>
      <c r="BYP214" s="181"/>
      <c r="BYQ214" s="181"/>
      <c r="BYR214" s="181"/>
      <c r="BYS214" s="181"/>
      <c r="BYT214" s="181"/>
      <c r="BYU214" s="181"/>
      <c r="BYV214" s="181"/>
      <c r="BYW214" s="181"/>
      <c r="BYX214" s="181"/>
      <c r="BYY214" s="181"/>
      <c r="BYZ214" s="181"/>
      <c r="BZA214" s="181"/>
      <c r="BZB214" s="181"/>
      <c r="BZC214" s="181"/>
      <c r="BZD214" s="181"/>
      <c r="BZE214" s="181"/>
      <c r="BZF214" s="181"/>
      <c r="BZG214" s="181"/>
      <c r="BZH214" s="181"/>
      <c r="BZI214" s="181"/>
      <c r="BZJ214" s="181"/>
      <c r="BZK214" s="181"/>
      <c r="BZL214" s="181"/>
      <c r="BZM214" s="181"/>
      <c r="BZN214" s="181"/>
      <c r="BZO214" s="181"/>
      <c r="BZP214" s="181"/>
      <c r="BZQ214" s="181"/>
      <c r="BZR214" s="181"/>
      <c r="BZS214" s="181"/>
      <c r="BZT214" s="181"/>
      <c r="BZU214" s="181"/>
      <c r="BZV214" s="181"/>
      <c r="BZW214" s="181"/>
      <c r="BZX214" s="181"/>
      <c r="BZY214" s="181"/>
      <c r="BZZ214" s="181"/>
      <c r="CAA214" s="181"/>
      <c r="CAB214" s="181"/>
      <c r="CAC214" s="181"/>
      <c r="CAD214" s="181"/>
      <c r="CAE214" s="181"/>
      <c r="CAF214" s="181"/>
      <c r="CAG214" s="181"/>
      <c r="CAH214" s="181"/>
      <c r="CAI214" s="181"/>
      <c r="CAJ214" s="181"/>
      <c r="CAK214" s="181"/>
      <c r="CAL214" s="181"/>
      <c r="CAM214" s="181"/>
      <c r="CAN214" s="181"/>
      <c r="CAO214" s="181"/>
      <c r="CAP214" s="181"/>
      <c r="CAQ214" s="181"/>
      <c r="CAR214" s="181"/>
      <c r="CAS214" s="181"/>
      <c r="CAT214" s="181"/>
      <c r="CAU214" s="181"/>
      <c r="CAV214" s="181"/>
      <c r="CAW214" s="181"/>
      <c r="CAX214" s="181"/>
      <c r="CAY214" s="181"/>
      <c r="CAZ214" s="181"/>
      <c r="CBA214" s="181"/>
      <c r="CBB214" s="181"/>
      <c r="CBC214" s="181"/>
      <c r="CBD214" s="181"/>
      <c r="CBE214" s="181"/>
      <c r="CBF214" s="181"/>
      <c r="CBG214" s="181"/>
      <c r="CBH214" s="181"/>
      <c r="CBI214" s="181"/>
      <c r="CBJ214" s="181"/>
      <c r="CBK214" s="181"/>
      <c r="CBL214" s="181"/>
      <c r="CBM214" s="181"/>
      <c r="CBN214" s="181"/>
      <c r="CBO214" s="181"/>
      <c r="CBP214" s="181"/>
      <c r="CBQ214" s="181"/>
      <c r="CBR214" s="181"/>
      <c r="CBS214" s="181"/>
      <c r="CBT214" s="181"/>
      <c r="CBU214" s="181"/>
      <c r="CBV214" s="181"/>
      <c r="CBW214" s="181"/>
      <c r="CBX214" s="181"/>
      <c r="CBY214" s="181"/>
      <c r="CBZ214" s="181"/>
      <c r="CCA214" s="181"/>
      <c r="CCB214" s="181"/>
      <c r="CCC214" s="181"/>
      <c r="CCD214" s="181"/>
      <c r="CCE214" s="181"/>
      <c r="CCF214" s="181"/>
      <c r="CCG214" s="181"/>
      <c r="CCH214" s="181"/>
      <c r="CCI214" s="181"/>
      <c r="CCJ214" s="181"/>
      <c r="CCK214" s="181"/>
      <c r="CCL214" s="181"/>
      <c r="CCM214" s="181"/>
      <c r="CCN214" s="181"/>
      <c r="CCO214" s="181"/>
      <c r="CCP214" s="181"/>
      <c r="CCQ214" s="181"/>
      <c r="CCR214" s="181"/>
      <c r="CCS214" s="181"/>
      <c r="CCT214" s="181"/>
      <c r="CCU214" s="181"/>
      <c r="CCV214" s="181"/>
      <c r="CCW214" s="181"/>
      <c r="CCX214" s="181"/>
      <c r="CCY214" s="181"/>
      <c r="CCZ214" s="181"/>
      <c r="CDA214" s="181"/>
      <c r="CDB214" s="181"/>
      <c r="CDC214" s="181"/>
      <c r="CDD214" s="181"/>
      <c r="CDE214" s="181"/>
      <c r="CDF214" s="181"/>
      <c r="CDG214" s="181"/>
      <c r="CDH214" s="181"/>
      <c r="CDI214" s="181"/>
      <c r="CDJ214" s="181"/>
      <c r="CDK214" s="181"/>
      <c r="CDL214" s="181"/>
      <c r="CDM214" s="181"/>
      <c r="CDN214" s="181"/>
      <c r="CDO214" s="181"/>
      <c r="CDP214" s="181"/>
      <c r="CDQ214" s="181"/>
      <c r="CDR214" s="181"/>
      <c r="CDS214" s="181"/>
      <c r="CDT214" s="181"/>
      <c r="CDU214" s="181"/>
      <c r="CDV214" s="181"/>
      <c r="CDW214" s="181"/>
      <c r="CDX214" s="181"/>
      <c r="CDY214" s="181"/>
      <c r="CDZ214" s="181"/>
      <c r="CEA214" s="181"/>
      <c r="CEB214" s="181"/>
      <c r="CEC214" s="181"/>
      <c r="CED214" s="181"/>
      <c r="CEE214" s="181"/>
      <c r="CEF214" s="181"/>
      <c r="CEG214" s="181"/>
      <c r="CEH214" s="181"/>
      <c r="CEI214" s="181"/>
      <c r="CEJ214" s="181"/>
      <c r="CEK214" s="181"/>
      <c r="CEL214" s="181"/>
      <c r="CEM214" s="181"/>
      <c r="CEN214" s="181"/>
      <c r="CEO214" s="181"/>
      <c r="CEP214" s="181"/>
      <c r="CEQ214" s="181"/>
      <c r="CER214" s="181"/>
      <c r="CES214" s="181"/>
      <c r="CET214" s="181"/>
      <c r="CEU214" s="181"/>
      <c r="CEV214" s="181"/>
      <c r="CEW214" s="181"/>
      <c r="CEX214" s="181"/>
      <c r="CEY214" s="181"/>
      <c r="CEZ214" s="181"/>
      <c r="CFA214" s="181"/>
      <c r="CFB214" s="181"/>
      <c r="CFC214" s="181"/>
      <c r="CFD214" s="181"/>
      <c r="CFE214" s="181"/>
      <c r="CFF214" s="181"/>
      <c r="CFG214" s="181"/>
      <c r="CFH214" s="181"/>
      <c r="CFI214" s="181"/>
      <c r="CFJ214" s="181"/>
      <c r="CFK214" s="181"/>
      <c r="CFL214" s="181"/>
      <c r="CFM214" s="181"/>
      <c r="CFN214" s="181"/>
      <c r="CFO214" s="181"/>
      <c r="CFP214" s="181"/>
      <c r="CFQ214" s="181"/>
      <c r="CFR214" s="181"/>
      <c r="CFS214" s="181"/>
      <c r="CFT214" s="181"/>
      <c r="CFU214" s="181"/>
      <c r="CFV214" s="181"/>
      <c r="CFW214" s="181"/>
      <c r="CFX214" s="181"/>
      <c r="CFY214" s="181"/>
      <c r="CFZ214" s="181"/>
      <c r="CGA214" s="181"/>
      <c r="CGB214" s="181"/>
      <c r="CGC214" s="181"/>
      <c r="CGD214" s="181"/>
      <c r="CGE214" s="181"/>
      <c r="CGF214" s="181"/>
      <c r="CGG214" s="181"/>
      <c r="CGH214" s="181"/>
      <c r="CGI214" s="181"/>
      <c r="CGJ214" s="181"/>
      <c r="CGK214" s="181"/>
      <c r="CGL214" s="181"/>
      <c r="CGM214" s="181"/>
      <c r="CGN214" s="181"/>
      <c r="CGO214" s="181"/>
      <c r="CGP214" s="181"/>
      <c r="CGQ214" s="181"/>
      <c r="CGR214" s="181"/>
      <c r="CGS214" s="181"/>
      <c r="CGT214" s="181"/>
      <c r="CGU214" s="181"/>
      <c r="CGV214" s="181"/>
      <c r="CGW214" s="181"/>
      <c r="CGX214" s="181"/>
      <c r="CGY214" s="181"/>
      <c r="CGZ214" s="181"/>
      <c r="CHA214" s="181"/>
      <c r="CHB214" s="181"/>
      <c r="CHC214" s="181"/>
      <c r="CHD214" s="181"/>
      <c r="CHE214" s="181"/>
      <c r="CHF214" s="181"/>
      <c r="CHG214" s="181"/>
      <c r="CHH214" s="181"/>
      <c r="CHI214" s="181"/>
      <c r="CHJ214" s="181"/>
      <c r="CHK214" s="181"/>
      <c r="CHL214" s="181"/>
      <c r="CHM214" s="181"/>
      <c r="CHN214" s="181"/>
      <c r="CHO214" s="181"/>
      <c r="CHP214" s="181"/>
      <c r="CHQ214" s="181"/>
      <c r="CHR214" s="181"/>
      <c r="CHS214" s="181"/>
      <c r="CHT214" s="181"/>
      <c r="CHU214" s="181"/>
      <c r="CHV214" s="181"/>
      <c r="CHW214" s="181"/>
      <c r="CHX214" s="181"/>
      <c r="CHY214" s="181"/>
      <c r="CHZ214" s="181"/>
      <c r="CIA214" s="181"/>
      <c r="CIB214" s="181"/>
      <c r="CIC214" s="181"/>
      <c r="CID214" s="181"/>
      <c r="CIE214" s="181"/>
      <c r="CIF214" s="181"/>
      <c r="CIG214" s="181"/>
      <c r="CIH214" s="181"/>
      <c r="CII214" s="181"/>
      <c r="CIJ214" s="181"/>
      <c r="CIK214" s="181"/>
      <c r="CIL214" s="181"/>
      <c r="CIM214" s="181"/>
      <c r="CIN214" s="181"/>
      <c r="CIO214" s="181"/>
      <c r="CIP214" s="181"/>
      <c r="CIQ214" s="181"/>
      <c r="CIR214" s="181"/>
      <c r="CIS214" s="181"/>
      <c r="CIT214" s="181"/>
      <c r="CIU214" s="181"/>
      <c r="CIV214" s="181"/>
      <c r="CIW214" s="181"/>
      <c r="CIX214" s="181"/>
      <c r="CIY214" s="181"/>
      <c r="CIZ214" s="181"/>
      <c r="CJA214" s="181"/>
      <c r="CJB214" s="181"/>
      <c r="CJC214" s="181"/>
      <c r="CJD214" s="181"/>
      <c r="CJE214" s="181"/>
      <c r="CJF214" s="181"/>
      <c r="CJG214" s="181"/>
      <c r="CJH214" s="181"/>
      <c r="CJI214" s="181"/>
      <c r="CJJ214" s="181"/>
      <c r="CJK214" s="181"/>
      <c r="CJL214" s="181"/>
      <c r="CJM214" s="181"/>
      <c r="CJN214" s="181"/>
      <c r="CJO214" s="181"/>
      <c r="CJP214" s="181"/>
      <c r="CJQ214" s="181"/>
      <c r="CJR214" s="181"/>
      <c r="CJS214" s="181"/>
      <c r="CJT214" s="181"/>
      <c r="CJU214" s="181"/>
      <c r="CJV214" s="181"/>
      <c r="CJW214" s="181"/>
      <c r="CJX214" s="181"/>
      <c r="CJY214" s="181"/>
      <c r="CJZ214" s="181"/>
      <c r="CKA214" s="181"/>
      <c r="CKB214" s="181"/>
      <c r="CKC214" s="181"/>
      <c r="CKD214" s="181"/>
      <c r="CKE214" s="181"/>
      <c r="CKF214" s="181"/>
      <c r="CKG214" s="181"/>
      <c r="CKH214" s="181"/>
      <c r="CKI214" s="181"/>
      <c r="CKJ214" s="181"/>
      <c r="CKK214" s="181"/>
      <c r="CKL214" s="181"/>
      <c r="CKM214" s="181"/>
      <c r="CKN214" s="181"/>
      <c r="CKO214" s="181"/>
      <c r="CKP214" s="181"/>
      <c r="CKQ214" s="181"/>
      <c r="CKR214" s="181"/>
      <c r="CKS214" s="181"/>
      <c r="CKT214" s="181"/>
      <c r="CKU214" s="181"/>
      <c r="CKV214" s="181"/>
      <c r="CKW214" s="181"/>
      <c r="CKX214" s="181"/>
      <c r="CKY214" s="181"/>
      <c r="CKZ214" s="181"/>
      <c r="CLA214" s="181"/>
      <c r="CLB214" s="181"/>
      <c r="CLC214" s="181"/>
      <c r="CLD214" s="181"/>
      <c r="CLE214" s="181"/>
      <c r="CLF214" s="181"/>
      <c r="CLG214" s="181"/>
      <c r="CLH214" s="181"/>
      <c r="CLI214" s="181"/>
      <c r="CLJ214" s="181"/>
      <c r="CLK214" s="181"/>
      <c r="CLL214" s="181"/>
      <c r="CLM214" s="181"/>
      <c r="CLN214" s="181"/>
      <c r="CLO214" s="181"/>
      <c r="CLP214" s="181"/>
      <c r="CLQ214" s="181"/>
      <c r="CLR214" s="181"/>
      <c r="CLS214" s="181"/>
      <c r="CLT214" s="181"/>
      <c r="CLU214" s="181"/>
      <c r="CLV214" s="181"/>
      <c r="CLW214" s="181"/>
      <c r="CLX214" s="181"/>
      <c r="CLY214" s="181"/>
      <c r="CLZ214" s="181"/>
      <c r="CMA214" s="181"/>
      <c r="CMB214" s="181"/>
      <c r="CMC214" s="181"/>
      <c r="CMD214" s="181"/>
      <c r="CME214" s="181"/>
      <c r="CMF214" s="181"/>
      <c r="CMG214" s="181"/>
      <c r="CMH214" s="181"/>
      <c r="CMI214" s="181"/>
      <c r="CMJ214" s="181"/>
      <c r="CMK214" s="181"/>
      <c r="CML214" s="181"/>
      <c r="CMM214" s="181"/>
      <c r="CMN214" s="181"/>
      <c r="CMO214" s="181"/>
      <c r="CMP214" s="181"/>
      <c r="CMQ214" s="181"/>
      <c r="CMR214" s="181"/>
      <c r="CMS214" s="181"/>
      <c r="CMT214" s="181"/>
      <c r="CMU214" s="181"/>
      <c r="CMV214" s="181"/>
      <c r="CMW214" s="181"/>
      <c r="CMX214" s="181"/>
      <c r="CMY214" s="181"/>
      <c r="CMZ214" s="181"/>
      <c r="CNA214" s="181"/>
      <c r="CNB214" s="181"/>
      <c r="CNC214" s="181"/>
      <c r="CND214" s="181"/>
      <c r="CNE214" s="181"/>
      <c r="CNF214" s="181"/>
      <c r="CNG214" s="181"/>
      <c r="CNH214" s="181"/>
      <c r="CNI214" s="181"/>
      <c r="CNJ214" s="181"/>
      <c r="CNK214" s="181"/>
      <c r="CNL214" s="181"/>
      <c r="CNM214" s="181"/>
      <c r="CNN214" s="181"/>
      <c r="CNO214" s="181"/>
      <c r="CNP214" s="181"/>
      <c r="CNQ214" s="181"/>
      <c r="CNR214" s="181"/>
      <c r="CNS214" s="181"/>
      <c r="CNT214" s="181"/>
      <c r="CNU214" s="181"/>
      <c r="CNV214" s="181"/>
      <c r="CNW214" s="181"/>
      <c r="CNX214" s="181"/>
      <c r="CNY214" s="181"/>
      <c r="CNZ214" s="181"/>
      <c r="COA214" s="181"/>
      <c r="COB214" s="181"/>
      <c r="COC214" s="181"/>
      <c r="COD214" s="181"/>
      <c r="COE214" s="181"/>
      <c r="COF214" s="181"/>
      <c r="COG214" s="181"/>
      <c r="COH214" s="181"/>
      <c r="COI214" s="181"/>
      <c r="COJ214" s="181"/>
      <c r="COK214" s="181"/>
      <c r="COL214" s="181"/>
      <c r="COM214" s="181"/>
      <c r="CON214" s="181"/>
      <c r="COO214" s="181"/>
      <c r="COP214" s="181"/>
      <c r="COQ214" s="181"/>
      <c r="COR214" s="181"/>
      <c r="COS214" s="181"/>
      <c r="COT214" s="181"/>
      <c r="COU214" s="181"/>
      <c r="COV214" s="181"/>
      <c r="COW214" s="181"/>
      <c r="COX214" s="181"/>
      <c r="COY214" s="181"/>
      <c r="COZ214" s="181"/>
      <c r="CPA214" s="181"/>
      <c r="CPB214" s="181"/>
      <c r="CPC214" s="181"/>
      <c r="CPD214" s="181"/>
      <c r="CPE214" s="181"/>
      <c r="CPF214" s="181"/>
      <c r="CPG214" s="181"/>
      <c r="CPH214" s="181"/>
      <c r="CPI214" s="181"/>
      <c r="CPJ214" s="181"/>
      <c r="CPK214" s="181"/>
      <c r="CPL214" s="181"/>
      <c r="CPM214" s="181"/>
      <c r="CPN214" s="181"/>
      <c r="CPO214" s="181"/>
      <c r="CPP214" s="181"/>
      <c r="CPQ214" s="181"/>
      <c r="CPR214" s="181"/>
      <c r="CPS214" s="181"/>
      <c r="CPT214" s="181"/>
      <c r="CPU214" s="181"/>
      <c r="CPV214" s="181"/>
      <c r="CPW214" s="181"/>
      <c r="CPX214" s="181"/>
      <c r="CPY214" s="181"/>
      <c r="CPZ214" s="181"/>
      <c r="CQA214" s="181"/>
      <c r="CQB214" s="181"/>
      <c r="CQC214" s="181"/>
      <c r="CQD214" s="181"/>
      <c r="CQE214" s="181"/>
      <c r="CQF214" s="181"/>
      <c r="CQG214" s="181"/>
      <c r="CQH214" s="181"/>
      <c r="CQI214" s="181"/>
      <c r="CQJ214" s="181"/>
      <c r="CQK214" s="181"/>
      <c r="CQL214" s="181"/>
      <c r="CQM214" s="181"/>
      <c r="CQN214" s="181"/>
      <c r="CQO214" s="181"/>
      <c r="CQP214" s="181"/>
      <c r="CQQ214" s="181"/>
      <c r="CQR214" s="181"/>
      <c r="CQS214" s="181"/>
      <c r="CQT214" s="181"/>
      <c r="CQU214" s="181"/>
      <c r="CQV214" s="181"/>
      <c r="CQW214" s="181"/>
      <c r="CQX214" s="181"/>
      <c r="CQY214" s="181"/>
      <c r="CQZ214" s="181"/>
      <c r="CRA214" s="181"/>
      <c r="CRB214" s="181"/>
      <c r="CRC214" s="181"/>
      <c r="CRD214" s="181"/>
      <c r="CRE214" s="181"/>
      <c r="CRF214" s="181"/>
      <c r="CRG214" s="181"/>
      <c r="CRH214" s="181"/>
      <c r="CRI214" s="181"/>
      <c r="CRJ214" s="181"/>
      <c r="CRK214" s="181"/>
      <c r="CRL214" s="181"/>
      <c r="CRM214" s="181"/>
      <c r="CRN214" s="181"/>
      <c r="CRO214" s="181"/>
      <c r="CRP214" s="181"/>
      <c r="CRQ214" s="181"/>
      <c r="CRR214" s="181"/>
      <c r="CRS214" s="181"/>
      <c r="CRT214" s="181"/>
      <c r="CRU214" s="181"/>
      <c r="CRV214" s="181"/>
      <c r="CRW214" s="181"/>
      <c r="CRX214" s="181"/>
      <c r="CRY214" s="181"/>
      <c r="CRZ214" s="181"/>
      <c r="CSA214" s="181"/>
      <c r="CSB214" s="181"/>
      <c r="CSC214" s="181"/>
      <c r="CSD214" s="181"/>
      <c r="CSE214" s="181"/>
      <c r="CSF214" s="181"/>
      <c r="CSG214" s="181"/>
      <c r="CSH214" s="181"/>
      <c r="CSI214" s="181"/>
      <c r="CSJ214" s="181"/>
      <c r="CSK214" s="181"/>
      <c r="CSL214" s="181"/>
      <c r="CSM214" s="181"/>
      <c r="CSN214" s="181"/>
      <c r="CSO214" s="181"/>
      <c r="CSP214" s="181"/>
      <c r="CSQ214" s="181"/>
      <c r="CSR214" s="181"/>
      <c r="CSS214" s="181"/>
      <c r="CST214" s="181"/>
      <c r="CSU214" s="181"/>
      <c r="CSV214" s="181"/>
      <c r="CSW214" s="181"/>
      <c r="CSX214" s="181"/>
      <c r="CSY214" s="181"/>
      <c r="CSZ214" s="181"/>
      <c r="CTA214" s="181"/>
      <c r="CTB214" s="181"/>
      <c r="CTC214" s="181"/>
      <c r="CTD214" s="181"/>
      <c r="CTE214" s="181"/>
      <c r="CTF214" s="181"/>
      <c r="CTG214" s="181"/>
      <c r="CTH214" s="181"/>
      <c r="CTI214" s="181"/>
      <c r="CTJ214" s="181"/>
      <c r="CTK214" s="181"/>
      <c r="CTL214" s="181"/>
      <c r="CTM214" s="181"/>
      <c r="CTN214" s="181"/>
      <c r="CTO214" s="181"/>
      <c r="CTP214" s="181"/>
      <c r="CTQ214" s="181"/>
      <c r="CTR214" s="181"/>
      <c r="CTS214" s="181"/>
      <c r="CTT214" s="181"/>
      <c r="CTU214" s="181"/>
      <c r="CTV214" s="181"/>
      <c r="CTW214" s="181"/>
      <c r="CTX214" s="181"/>
      <c r="CTY214" s="181"/>
      <c r="CTZ214" s="181"/>
      <c r="CUA214" s="181"/>
      <c r="CUB214" s="181"/>
      <c r="CUC214" s="181"/>
      <c r="CUD214" s="181"/>
      <c r="CUE214" s="181"/>
      <c r="CUF214" s="181"/>
      <c r="CUG214" s="181"/>
      <c r="CUH214" s="181"/>
      <c r="CUI214" s="181"/>
      <c r="CUJ214" s="181"/>
      <c r="CUK214" s="181"/>
      <c r="CUL214" s="181"/>
      <c r="CUM214" s="181"/>
      <c r="CUN214" s="181"/>
      <c r="CUO214" s="181"/>
      <c r="CUP214" s="181"/>
      <c r="CUQ214" s="181"/>
      <c r="CUR214" s="181"/>
      <c r="CUS214" s="181"/>
      <c r="CUT214" s="181"/>
      <c r="CUU214" s="181"/>
      <c r="CUV214" s="181"/>
      <c r="CUW214" s="181"/>
      <c r="CUX214" s="181"/>
      <c r="CUY214" s="181"/>
      <c r="CUZ214" s="181"/>
      <c r="CVA214" s="181"/>
      <c r="CVB214" s="181"/>
      <c r="CVC214" s="181"/>
      <c r="CVD214" s="181"/>
      <c r="CVE214" s="181"/>
      <c r="CVF214" s="181"/>
      <c r="CVG214" s="181"/>
      <c r="CVH214" s="181"/>
      <c r="CVI214" s="181"/>
      <c r="CVJ214" s="181"/>
      <c r="CVK214" s="181"/>
      <c r="CVL214" s="181"/>
      <c r="CVM214" s="181"/>
      <c r="CVN214" s="181"/>
      <c r="CVO214" s="181"/>
      <c r="CVP214" s="181"/>
      <c r="CVQ214" s="181"/>
      <c r="CVR214" s="181"/>
      <c r="CVS214" s="181"/>
      <c r="CVT214" s="181"/>
      <c r="CVU214" s="181"/>
      <c r="CVV214" s="181"/>
      <c r="CVW214" s="181"/>
      <c r="CVX214" s="181"/>
      <c r="CVY214" s="181"/>
      <c r="CVZ214" s="181"/>
      <c r="CWA214" s="181"/>
      <c r="CWB214" s="181"/>
      <c r="CWC214" s="181"/>
      <c r="CWD214" s="181"/>
      <c r="CWE214" s="181"/>
      <c r="CWF214" s="181"/>
      <c r="CWG214" s="181"/>
      <c r="CWH214" s="181"/>
      <c r="CWI214" s="181"/>
      <c r="CWJ214" s="181"/>
      <c r="CWK214" s="181"/>
      <c r="CWL214" s="181"/>
      <c r="CWM214" s="181"/>
      <c r="CWN214" s="181"/>
      <c r="CWO214" s="181"/>
      <c r="CWP214" s="181"/>
      <c r="CWQ214" s="181"/>
      <c r="CWR214" s="181"/>
      <c r="CWS214" s="181"/>
      <c r="CWT214" s="181"/>
      <c r="CWU214" s="181"/>
      <c r="CWV214" s="181"/>
      <c r="CWW214" s="181"/>
      <c r="CWX214" s="181"/>
      <c r="CWY214" s="181"/>
      <c r="CWZ214" s="181"/>
      <c r="CXA214" s="181"/>
      <c r="CXB214" s="181"/>
      <c r="CXC214" s="181"/>
      <c r="CXD214" s="181"/>
      <c r="CXE214" s="181"/>
      <c r="CXF214" s="181"/>
      <c r="CXG214" s="181"/>
      <c r="CXH214" s="181"/>
      <c r="CXI214" s="181"/>
      <c r="CXJ214" s="181"/>
      <c r="CXK214" s="181"/>
      <c r="CXL214" s="181"/>
      <c r="CXM214" s="181"/>
      <c r="CXN214" s="181"/>
      <c r="CXO214" s="181"/>
      <c r="CXP214" s="181"/>
      <c r="CXQ214" s="181"/>
      <c r="CXR214" s="181"/>
      <c r="CXS214" s="181"/>
      <c r="CXT214" s="181"/>
      <c r="CXU214" s="181"/>
      <c r="CXV214" s="181"/>
      <c r="CXW214" s="181"/>
      <c r="CXX214" s="181"/>
      <c r="CXY214" s="181"/>
      <c r="CXZ214" s="181"/>
      <c r="CYA214" s="181"/>
      <c r="CYB214" s="181"/>
      <c r="CYC214" s="181"/>
      <c r="CYD214" s="181"/>
      <c r="CYE214" s="181"/>
      <c r="CYF214" s="181"/>
      <c r="CYG214" s="181"/>
      <c r="CYH214" s="181"/>
      <c r="CYI214" s="181"/>
      <c r="CYJ214" s="181"/>
      <c r="CYK214" s="181"/>
      <c r="CYL214" s="181"/>
      <c r="CYM214" s="181"/>
      <c r="CYN214" s="181"/>
      <c r="CYO214" s="181"/>
      <c r="CYP214" s="181"/>
      <c r="CYQ214" s="181"/>
      <c r="CYR214" s="181"/>
      <c r="CYS214" s="181"/>
      <c r="CYT214" s="181"/>
      <c r="CYU214" s="181"/>
      <c r="CYV214" s="181"/>
      <c r="CYW214" s="181"/>
      <c r="CYX214" s="181"/>
      <c r="CYY214" s="181"/>
      <c r="CYZ214" s="181"/>
      <c r="CZA214" s="181"/>
      <c r="CZB214" s="181"/>
      <c r="CZC214" s="181"/>
      <c r="CZD214" s="181"/>
      <c r="CZE214" s="181"/>
      <c r="CZF214" s="181"/>
      <c r="CZG214" s="181"/>
      <c r="CZH214" s="181"/>
      <c r="CZI214" s="181"/>
      <c r="CZJ214" s="181"/>
      <c r="CZK214" s="181"/>
      <c r="CZL214" s="181"/>
      <c r="CZM214" s="181"/>
      <c r="CZN214" s="181"/>
      <c r="CZO214" s="181"/>
      <c r="CZP214" s="181"/>
      <c r="CZQ214" s="181"/>
      <c r="CZR214" s="181"/>
      <c r="CZS214" s="181"/>
      <c r="CZT214" s="181"/>
      <c r="CZU214" s="181"/>
      <c r="CZV214" s="181"/>
      <c r="CZW214" s="181"/>
      <c r="CZX214" s="181"/>
      <c r="CZY214" s="181"/>
      <c r="CZZ214" s="181"/>
      <c r="DAA214" s="181"/>
      <c r="DAB214" s="181"/>
      <c r="DAC214" s="181"/>
      <c r="DAD214" s="181"/>
      <c r="DAE214" s="181"/>
      <c r="DAF214" s="181"/>
      <c r="DAG214" s="181"/>
      <c r="DAH214" s="181"/>
      <c r="DAI214" s="181"/>
      <c r="DAJ214" s="181"/>
      <c r="DAK214" s="181"/>
      <c r="DAL214" s="181"/>
      <c r="DAM214" s="181"/>
      <c r="DAN214" s="181"/>
      <c r="DAO214" s="181"/>
      <c r="DAP214" s="181"/>
      <c r="DAQ214" s="181"/>
      <c r="DAR214" s="181"/>
      <c r="DAS214" s="181"/>
      <c r="DAT214" s="181"/>
      <c r="DAU214" s="181"/>
      <c r="DAV214" s="181"/>
      <c r="DAW214" s="181"/>
      <c r="DAX214" s="181"/>
      <c r="DAY214" s="181"/>
      <c r="DAZ214" s="181"/>
      <c r="DBA214" s="181"/>
      <c r="DBB214" s="181"/>
      <c r="DBC214" s="181"/>
      <c r="DBD214" s="181"/>
      <c r="DBE214" s="181"/>
      <c r="DBF214" s="181"/>
      <c r="DBG214" s="181"/>
      <c r="DBH214" s="181"/>
      <c r="DBI214" s="181"/>
      <c r="DBJ214" s="181"/>
      <c r="DBK214" s="181"/>
      <c r="DBL214" s="181"/>
      <c r="DBM214" s="181"/>
      <c r="DBN214" s="181"/>
      <c r="DBO214" s="181"/>
      <c r="DBP214" s="181"/>
      <c r="DBQ214" s="181"/>
      <c r="DBR214" s="181"/>
      <c r="DBS214" s="181"/>
      <c r="DBT214" s="181"/>
      <c r="DBU214" s="181"/>
      <c r="DBV214" s="181"/>
      <c r="DBW214" s="181"/>
      <c r="DBX214" s="181"/>
      <c r="DBY214" s="181"/>
      <c r="DBZ214" s="181"/>
      <c r="DCA214" s="181"/>
      <c r="DCB214" s="181"/>
      <c r="DCC214" s="181"/>
      <c r="DCD214" s="181"/>
      <c r="DCE214" s="181"/>
      <c r="DCF214" s="181"/>
      <c r="DCG214" s="181"/>
      <c r="DCH214" s="181"/>
      <c r="DCI214" s="181"/>
      <c r="DCJ214" s="181"/>
      <c r="DCK214" s="181"/>
      <c r="DCL214" s="181"/>
      <c r="DCM214" s="181"/>
      <c r="DCN214" s="181"/>
      <c r="DCO214" s="181"/>
      <c r="DCP214" s="181"/>
      <c r="DCQ214" s="181"/>
      <c r="DCR214" s="181"/>
      <c r="DCS214" s="181"/>
      <c r="DCT214" s="181"/>
      <c r="DCU214" s="181"/>
      <c r="DCV214" s="181"/>
      <c r="DCW214" s="181"/>
      <c r="DCX214" s="181"/>
      <c r="DCY214" s="181"/>
      <c r="DCZ214" s="181"/>
      <c r="DDA214" s="181"/>
      <c r="DDB214" s="181"/>
      <c r="DDC214" s="181"/>
      <c r="DDD214" s="181"/>
      <c r="DDE214" s="181"/>
      <c r="DDF214" s="181"/>
      <c r="DDG214" s="181"/>
      <c r="DDH214" s="181"/>
      <c r="DDI214" s="181"/>
      <c r="DDJ214" s="181"/>
      <c r="DDK214" s="181"/>
      <c r="DDL214" s="181"/>
      <c r="DDM214" s="181"/>
      <c r="DDN214" s="181"/>
      <c r="DDO214" s="181"/>
      <c r="DDP214" s="181"/>
      <c r="DDQ214" s="181"/>
      <c r="DDR214" s="181"/>
      <c r="DDS214" s="181"/>
      <c r="DDT214" s="181"/>
      <c r="DDU214" s="181"/>
      <c r="DDV214" s="181"/>
      <c r="DDW214" s="181"/>
      <c r="DDX214" s="181"/>
      <c r="DDY214" s="181"/>
      <c r="DDZ214" s="181"/>
      <c r="DEA214" s="181"/>
      <c r="DEB214" s="181"/>
      <c r="DEC214" s="181"/>
      <c r="DED214" s="181"/>
      <c r="DEE214" s="181"/>
      <c r="DEF214" s="181"/>
      <c r="DEG214" s="181"/>
      <c r="DEH214" s="181"/>
      <c r="DEI214" s="181"/>
      <c r="DEJ214" s="181"/>
      <c r="DEK214" s="181"/>
      <c r="DEL214" s="181"/>
      <c r="DEM214" s="181"/>
      <c r="DEN214" s="181"/>
      <c r="DEO214" s="181"/>
      <c r="DEP214" s="181"/>
      <c r="DEQ214" s="181"/>
      <c r="DER214" s="181"/>
      <c r="DES214" s="181"/>
      <c r="DET214" s="181"/>
      <c r="DEU214" s="181"/>
      <c r="DEV214" s="181"/>
      <c r="DEW214" s="181"/>
      <c r="DEX214" s="181"/>
      <c r="DEY214" s="181"/>
      <c r="DEZ214" s="181"/>
      <c r="DFA214" s="181"/>
      <c r="DFB214" s="181"/>
      <c r="DFC214" s="181"/>
      <c r="DFD214" s="181"/>
      <c r="DFE214" s="181"/>
      <c r="DFF214" s="181"/>
      <c r="DFG214" s="181"/>
      <c r="DFH214" s="181"/>
      <c r="DFI214" s="181"/>
      <c r="DFJ214" s="181"/>
      <c r="DFK214" s="181"/>
      <c r="DFL214" s="181"/>
      <c r="DFM214" s="181"/>
      <c r="DFN214" s="181"/>
      <c r="DFO214" s="181"/>
      <c r="DFP214" s="181"/>
      <c r="DFQ214" s="181"/>
      <c r="DFR214" s="181"/>
      <c r="DFS214" s="181"/>
      <c r="DFT214" s="181"/>
      <c r="DFU214" s="181"/>
      <c r="DFV214" s="181"/>
      <c r="DFW214" s="181"/>
      <c r="DFX214" s="181"/>
      <c r="DFY214" s="181"/>
      <c r="DFZ214" s="181"/>
      <c r="DGA214" s="181"/>
      <c r="DGB214" s="181"/>
      <c r="DGC214" s="181"/>
      <c r="DGD214" s="181"/>
      <c r="DGE214" s="181"/>
      <c r="DGF214" s="181"/>
      <c r="DGG214" s="181"/>
      <c r="DGH214" s="181"/>
      <c r="DGI214" s="181"/>
      <c r="DGJ214" s="181"/>
      <c r="DGK214" s="181"/>
      <c r="DGL214" s="181"/>
      <c r="DGM214" s="181"/>
      <c r="DGN214" s="181"/>
      <c r="DGO214" s="181"/>
      <c r="DGP214" s="181"/>
      <c r="DGQ214" s="181"/>
      <c r="DGR214" s="181"/>
      <c r="DGS214" s="181"/>
      <c r="DGT214" s="181"/>
      <c r="DGU214" s="181"/>
      <c r="DGV214" s="181"/>
      <c r="DGW214" s="181"/>
      <c r="DGX214" s="181"/>
      <c r="DGY214" s="181"/>
      <c r="DGZ214" s="181"/>
      <c r="DHA214" s="181"/>
      <c r="DHB214" s="181"/>
      <c r="DHC214" s="181"/>
      <c r="DHD214" s="181"/>
      <c r="DHE214" s="181"/>
      <c r="DHF214" s="181"/>
      <c r="DHG214" s="181"/>
      <c r="DHH214" s="181"/>
      <c r="DHI214" s="181"/>
      <c r="DHJ214" s="181"/>
      <c r="DHK214" s="181"/>
      <c r="DHL214" s="181"/>
      <c r="DHM214" s="181"/>
      <c r="DHN214" s="181"/>
      <c r="DHO214" s="181"/>
      <c r="DHP214" s="181"/>
      <c r="DHQ214" s="181"/>
      <c r="DHR214" s="181"/>
      <c r="DHS214" s="181"/>
      <c r="DHT214" s="181"/>
      <c r="DHU214" s="181"/>
      <c r="DHV214" s="181"/>
      <c r="DHW214" s="181"/>
      <c r="DHX214" s="181"/>
      <c r="DHY214" s="181"/>
      <c r="DHZ214" s="181"/>
      <c r="DIA214" s="181"/>
      <c r="DIB214" s="181"/>
      <c r="DIC214" s="181"/>
      <c r="DID214" s="181"/>
      <c r="DIE214" s="181"/>
      <c r="DIF214" s="181"/>
      <c r="DIG214" s="181"/>
      <c r="DIH214" s="181"/>
      <c r="DII214" s="181"/>
      <c r="DIJ214" s="181"/>
      <c r="DIK214" s="181"/>
      <c r="DIL214" s="181"/>
      <c r="DIM214" s="181"/>
      <c r="DIN214" s="181"/>
      <c r="DIO214" s="181"/>
      <c r="DIP214" s="181"/>
      <c r="DIQ214" s="181"/>
      <c r="DIR214" s="181"/>
      <c r="DIS214" s="181"/>
      <c r="DIT214" s="181"/>
      <c r="DIU214" s="181"/>
      <c r="DIV214" s="181"/>
      <c r="DIW214" s="181"/>
      <c r="DIX214" s="181"/>
      <c r="DIY214" s="181"/>
      <c r="DIZ214" s="181"/>
      <c r="DJA214" s="181"/>
      <c r="DJB214" s="181"/>
      <c r="DJC214" s="181"/>
      <c r="DJD214" s="181"/>
      <c r="DJE214" s="181"/>
      <c r="DJF214" s="181"/>
      <c r="DJG214" s="181"/>
      <c r="DJH214" s="181"/>
      <c r="DJI214" s="181"/>
      <c r="DJJ214" s="181"/>
      <c r="DJK214" s="181"/>
      <c r="DJL214" s="181"/>
      <c r="DJM214" s="181"/>
      <c r="DJN214" s="181"/>
      <c r="DJO214" s="181"/>
      <c r="DJP214" s="181"/>
      <c r="DJQ214" s="181"/>
      <c r="DJR214" s="181"/>
      <c r="DJS214" s="181"/>
      <c r="DJT214" s="181"/>
      <c r="DJU214" s="181"/>
      <c r="DJV214" s="181"/>
      <c r="DJW214" s="181"/>
      <c r="DJX214" s="181"/>
      <c r="DJY214" s="181"/>
      <c r="DJZ214" s="181"/>
      <c r="DKA214" s="181"/>
      <c r="DKB214" s="181"/>
      <c r="DKC214" s="181"/>
      <c r="DKD214" s="181"/>
      <c r="DKE214" s="181"/>
      <c r="DKF214" s="181"/>
      <c r="DKG214" s="181"/>
      <c r="DKH214" s="181"/>
      <c r="DKI214" s="181"/>
      <c r="DKJ214" s="181"/>
      <c r="DKK214" s="181"/>
      <c r="DKL214" s="181"/>
      <c r="DKM214" s="181"/>
      <c r="DKN214" s="181"/>
      <c r="DKO214" s="181"/>
      <c r="DKP214" s="181"/>
      <c r="DKQ214" s="181"/>
      <c r="DKR214" s="181"/>
      <c r="DKS214" s="181"/>
      <c r="DKT214" s="181"/>
      <c r="DKU214" s="181"/>
      <c r="DKV214" s="181"/>
      <c r="DKW214" s="181"/>
      <c r="DKX214" s="181"/>
      <c r="DKY214" s="181"/>
      <c r="DKZ214" s="181"/>
      <c r="DLA214" s="181"/>
      <c r="DLB214" s="181"/>
      <c r="DLC214" s="181"/>
      <c r="DLD214" s="181"/>
      <c r="DLE214" s="181"/>
      <c r="DLF214" s="181"/>
      <c r="DLG214" s="181"/>
      <c r="DLH214" s="181"/>
      <c r="DLI214" s="181"/>
      <c r="DLJ214" s="181"/>
      <c r="DLK214" s="181"/>
      <c r="DLL214" s="181"/>
      <c r="DLM214" s="181"/>
      <c r="DLN214" s="181"/>
      <c r="DLO214" s="181"/>
      <c r="DLP214" s="181"/>
      <c r="DLQ214" s="181"/>
      <c r="DLR214" s="181"/>
      <c r="DLS214" s="181"/>
      <c r="DLT214" s="181"/>
      <c r="DLU214" s="181"/>
      <c r="DLV214" s="181"/>
      <c r="DLW214" s="181"/>
      <c r="DLX214" s="181"/>
      <c r="DLY214" s="181"/>
      <c r="DLZ214" s="181"/>
      <c r="DMA214" s="181"/>
      <c r="DMB214" s="181"/>
      <c r="DMC214" s="181"/>
      <c r="DMD214" s="181"/>
      <c r="DME214" s="181"/>
      <c r="DMF214" s="181"/>
      <c r="DMG214" s="181"/>
      <c r="DMH214" s="181"/>
      <c r="DMI214" s="181"/>
      <c r="DMJ214" s="181"/>
      <c r="DMK214" s="181"/>
      <c r="DML214" s="181"/>
      <c r="DMM214" s="181"/>
      <c r="DMN214" s="181"/>
      <c r="DMO214" s="181"/>
      <c r="DMP214" s="181"/>
      <c r="DMQ214" s="181"/>
      <c r="DMR214" s="181"/>
      <c r="DMS214" s="181"/>
      <c r="DMT214" s="181"/>
      <c r="DMU214" s="181"/>
      <c r="DMV214" s="181"/>
      <c r="DMW214" s="181"/>
      <c r="DMX214" s="181"/>
      <c r="DMY214" s="181"/>
      <c r="DMZ214" s="181"/>
      <c r="DNA214" s="181"/>
      <c r="DNB214" s="181"/>
      <c r="DNC214" s="181"/>
      <c r="DND214" s="181"/>
      <c r="DNE214" s="181"/>
      <c r="DNF214" s="181"/>
      <c r="DNG214" s="181"/>
      <c r="DNH214" s="181"/>
      <c r="DNI214" s="181"/>
      <c r="DNJ214" s="181"/>
      <c r="DNK214" s="181"/>
      <c r="DNL214" s="181"/>
      <c r="DNM214" s="181"/>
      <c r="DNN214" s="181"/>
      <c r="DNO214" s="181"/>
      <c r="DNP214" s="181"/>
      <c r="DNQ214" s="181"/>
      <c r="DNR214" s="181"/>
      <c r="DNS214" s="181"/>
      <c r="DNT214" s="181"/>
      <c r="DNU214" s="181"/>
      <c r="DNV214" s="181"/>
      <c r="DNW214" s="181"/>
      <c r="DNX214" s="181"/>
      <c r="DNY214" s="181"/>
      <c r="DNZ214" s="181"/>
      <c r="DOA214" s="181"/>
      <c r="DOB214" s="181"/>
      <c r="DOC214" s="181"/>
      <c r="DOD214" s="181"/>
      <c r="DOE214" s="181"/>
      <c r="DOF214" s="181"/>
      <c r="DOG214" s="181"/>
      <c r="DOH214" s="181"/>
      <c r="DOI214" s="181"/>
      <c r="DOJ214" s="181"/>
      <c r="DOK214" s="181"/>
      <c r="DOL214" s="181"/>
      <c r="DOM214" s="181"/>
      <c r="DON214" s="181"/>
      <c r="DOO214" s="181"/>
      <c r="DOP214" s="181"/>
      <c r="DOQ214" s="181"/>
      <c r="DOR214" s="181"/>
      <c r="DOS214" s="181"/>
      <c r="DOT214" s="181"/>
      <c r="DOU214" s="181"/>
      <c r="DOV214" s="181"/>
      <c r="DOW214" s="181"/>
      <c r="DOX214" s="181"/>
      <c r="DOY214" s="181"/>
      <c r="DOZ214" s="181"/>
      <c r="DPA214" s="181"/>
      <c r="DPB214" s="181"/>
      <c r="DPC214" s="181"/>
      <c r="DPD214" s="181"/>
      <c r="DPE214" s="181"/>
      <c r="DPF214" s="181"/>
      <c r="DPG214" s="181"/>
      <c r="DPH214" s="181"/>
      <c r="DPI214" s="181"/>
      <c r="DPJ214" s="181"/>
      <c r="DPK214" s="181"/>
      <c r="DPL214" s="181"/>
      <c r="DPM214" s="181"/>
      <c r="DPN214" s="181"/>
      <c r="DPO214" s="181"/>
      <c r="DPP214" s="181"/>
      <c r="DPQ214" s="181"/>
      <c r="DPR214" s="181"/>
      <c r="DPS214" s="181"/>
      <c r="DPT214" s="181"/>
      <c r="DPU214" s="181"/>
      <c r="DPV214" s="181"/>
      <c r="DPW214" s="181"/>
      <c r="DPX214" s="181"/>
      <c r="DPY214" s="181"/>
      <c r="DPZ214" s="181"/>
      <c r="DQA214" s="181"/>
      <c r="DQB214" s="181"/>
      <c r="DQC214" s="181"/>
      <c r="DQD214" s="181"/>
      <c r="DQE214" s="181"/>
      <c r="DQF214" s="181"/>
      <c r="DQG214" s="181"/>
      <c r="DQH214" s="181"/>
      <c r="DQI214" s="181"/>
      <c r="DQJ214" s="181"/>
      <c r="DQK214" s="181"/>
      <c r="DQL214" s="181"/>
      <c r="DQM214" s="181"/>
      <c r="DQN214" s="181"/>
      <c r="DQO214" s="181"/>
      <c r="DQP214" s="181"/>
      <c r="DQQ214" s="181"/>
      <c r="DQR214" s="181"/>
      <c r="DQS214" s="181"/>
      <c r="DQT214" s="181"/>
      <c r="DQU214" s="181"/>
      <c r="DQV214" s="181"/>
      <c r="DQW214" s="181"/>
      <c r="DQX214" s="181"/>
      <c r="DQY214" s="181"/>
      <c r="DQZ214" s="181"/>
      <c r="DRA214" s="181"/>
      <c r="DRB214" s="181"/>
      <c r="DRC214" s="181"/>
      <c r="DRD214" s="181"/>
      <c r="DRE214" s="181"/>
      <c r="DRF214" s="181"/>
      <c r="DRG214" s="181"/>
      <c r="DRH214" s="181"/>
      <c r="DRI214" s="181"/>
      <c r="DRJ214" s="181"/>
      <c r="DRK214" s="181"/>
      <c r="DRL214" s="181"/>
      <c r="DRM214" s="181"/>
      <c r="DRN214" s="181"/>
      <c r="DRO214" s="181"/>
      <c r="DRP214" s="181"/>
      <c r="DRQ214" s="181"/>
      <c r="DRR214" s="181"/>
      <c r="DRS214" s="181"/>
      <c r="DRT214" s="181"/>
      <c r="DRU214" s="181"/>
      <c r="DRV214" s="181"/>
      <c r="DRW214" s="181"/>
      <c r="DRX214" s="181"/>
      <c r="DRY214" s="181"/>
      <c r="DRZ214" s="181"/>
      <c r="DSA214" s="181"/>
      <c r="DSB214" s="181"/>
      <c r="DSC214" s="181"/>
      <c r="DSD214" s="181"/>
      <c r="DSE214" s="181"/>
      <c r="DSF214" s="181"/>
      <c r="DSG214" s="181"/>
      <c r="DSH214" s="181"/>
      <c r="DSI214" s="181"/>
      <c r="DSJ214" s="181"/>
      <c r="DSK214" s="181"/>
      <c r="DSL214" s="181"/>
      <c r="DSM214" s="181"/>
      <c r="DSN214" s="181"/>
      <c r="DSO214" s="181"/>
      <c r="DSP214" s="181"/>
      <c r="DSQ214" s="181"/>
      <c r="DSR214" s="181"/>
      <c r="DSS214" s="181"/>
      <c r="DST214" s="181"/>
      <c r="DSU214" s="181"/>
      <c r="DSV214" s="181"/>
      <c r="DSW214" s="181"/>
      <c r="DSX214" s="181"/>
      <c r="DSY214" s="181"/>
      <c r="DSZ214" s="181"/>
      <c r="DTA214" s="181"/>
      <c r="DTB214" s="181"/>
      <c r="DTC214" s="181"/>
      <c r="DTD214" s="181"/>
      <c r="DTE214" s="181"/>
      <c r="DTF214" s="181"/>
      <c r="DTG214" s="181"/>
      <c r="DTH214" s="181"/>
      <c r="DTI214" s="181"/>
      <c r="DTJ214" s="181"/>
      <c r="DTK214" s="181"/>
      <c r="DTL214" s="181"/>
      <c r="DTM214" s="181"/>
      <c r="DTN214" s="181"/>
      <c r="DTO214" s="181"/>
      <c r="DTP214" s="181"/>
      <c r="DTQ214" s="181"/>
      <c r="DTR214" s="181"/>
      <c r="DTS214" s="181"/>
      <c r="DTT214" s="181"/>
      <c r="DTU214" s="181"/>
      <c r="DTV214" s="181"/>
      <c r="DTW214" s="181"/>
      <c r="DTX214" s="181"/>
      <c r="DTY214" s="181"/>
      <c r="DTZ214" s="181"/>
      <c r="DUA214" s="181"/>
      <c r="DUB214" s="181"/>
      <c r="DUC214" s="181"/>
      <c r="DUD214" s="181"/>
      <c r="DUE214" s="181"/>
      <c r="DUF214" s="181"/>
      <c r="DUG214" s="181"/>
      <c r="DUH214" s="181"/>
      <c r="DUI214" s="181"/>
      <c r="DUJ214" s="181"/>
      <c r="DUK214" s="181"/>
      <c r="DUL214" s="181"/>
      <c r="DUM214" s="181"/>
      <c r="DUN214" s="181"/>
      <c r="DUO214" s="181"/>
      <c r="DUP214" s="181"/>
      <c r="DUQ214" s="181"/>
      <c r="DUR214" s="181"/>
      <c r="DUS214" s="181"/>
      <c r="DUT214" s="181"/>
      <c r="DUU214" s="181"/>
      <c r="DUV214" s="181"/>
      <c r="DUW214" s="181"/>
      <c r="DUX214" s="181"/>
      <c r="DUY214" s="181"/>
      <c r="DUZ214" s="181"/>
      <c r="DVA214" s="181"/>
      <c r="DVB214" s="181"/>
      <c r="DVC214" s="181"/>
      <c r="DVD214" s="181"/>
      <c r="DVE214" s="181"/>
      <c r="DVF214" s="181"/>
      <c r="DVG214" s="181"/>
      <c r="DVH214" s="181"/>
      <c r="DVI214" s="181"/>
      <c r="DVJ214" s="181"/>
      <c r="DVK214" s="181"/>
      <c r="DVL214" s="181"/>
      <c r="DVM214" s="181"/>
      <c r="DVN214" s="181"/>
      <c r="DVO214" s="181"/>
      <c r="DVP214" s="181"/>
      <c r="DVQ214" s="181"/>
      <c r="DVR214" s="181"/>
      <c r="DVS214" s="181"/>
      <c r="DVT214" s="181"/>
      <c r="DVU214" s="181"/>
      <c r="DVV214" s="181"/>
      <c r="DVW214" s="181"/>
      <c r="DVX214" s="181"/>
      <c r="DVY214" s="181"/>
      <c r="DVZ214" s="181"/>
      <c r="DWA214" s="181"/>
      <c r="DWB214" s="181"/>
      <c r="DWC214" s="181"/>
      <c r="DWD214" s="181"/>
      <c r="DWE214" s="181"/>
      <c r="DWF214" s="181"/>
      <c r="DWG214" s="181"/>
      <c r="DWH214" s="181"/>
      <c r="DWI214" s="181"/>
      <c r="DWJ214" s="181"/>
      <c r="DWK214" s="181"/>
      <c r="DWL214" s="181"/>
      <c r="DWM214" s="181"/>
      <c r="DWN214" s="181"/>
      <c r="DWO214" s="181"/>
      <c r="DWP214" s="181"/>
      <c r="DWQ214" s="181"/>
      <c r="DWR214" s="181"/>
      <c r="DWS214" s="181"/>
      <c r="DWT214" s="181"/>
      <c r="DWU214" s="181"/>
      <c r="DWV214" s="181"/>
      <c r="DWW214" s="181"/>
      <c r="DWX214" s="181"/>
      <c r="DWY214" s="181"/>
      <c r="DWZ214" s="181"/>
      <c r="DXA214" s="181"/>
      <c r="DXB214" s="181"/>
      <c r="DXC214" s="181"/>
      <c r="DXD214" s="181"/>
      <c r="DXE214" s="181"/>
      <c r="DXF214" s="181"/>
      <c r="DXG214" s="181"/>
      <c r="DXH214" s="181"/>
      <c r="DXI214" s="181"/>
      <c r="DXJ214" s="181"/>
      <c r="DXK214" s="181"/>
      <c r="DXL214" s="181"/>
      <c r="DXM214" s="181"/>
      <c r="DXN214" s="181"/>
      <c r="DXO214" s="181"/>
      <c r="DXP214" s="181"/>
      <c r="DXQ214" s="181"/>
      <c r="DXR214" s="181"/>
      <c r="DXS214" s="181"/>
      <c r="DXT214" s="181"/>
      <c r="DXU214" s="181"/>
      <c r="DXV214" s="181"/>
      <c r="DXW214" s="181"/>
      <c r="DXX214" s="181"/>
      <c r="DXY214" s="181"/>
      <c r="DXZ214" s="181"/>
      <c r="DYA214" s="181"/>
      <c r="DYB214" s="181"/>
      <c r="DYC214" s="181"/>
      <c r="DYD214" s="181"/>
      <c r="DYE214" s="181"/>
      <c r="DYF214" s="181"/>
      <c r="DYG214" s="181"/>
      <c r="DYH214" s="181"/>
      <c r="DYI214" s="181"/>
      <c r="DYJ214" s="181"/>
      <c r="DYK214" s="181"/>
      <c r="DYL214" s="181"/>
      <c r="DYM214" s="181"/>
      <c r="DYN214" s="181"/>
      <c r="DYO214" s="181"/>
      <c r="DYP214" s="181"/>
      <c r="DYQ214" s="181"/>
      <c r="DYR214" s="181"/>
      <c r="DYS214" s="181"/>
      <c r="DYT214" s="181"/>
      <c r="DYU214" s="181"/>
      <c r="DYV214" s="181"/>
      <c r="DYW214" s="181"/>
      <c r="DYX214" s="181"/>
      <c r="DYY214" s="181"/>
      <c r="DYZ214" s="181"/>
      <c r="DZA214" s="181"/>
      <c r="DZB214" s="181"/>
      <c r="DZC214" s="181"/>
      <c r="DZD214" s="181"/>
      <c r="DZE214" s="181"/>
      <c r="DZF214" s="181"/>
      <c r="DZG214" s="181"/>
      <c r="DZH214" s="181"/>
      <c r="DZI214" s="181"/>
      <c r="DZJ214" s="181"/>
      <c r="DZK214" s="181"/>
      <c r="DZL214" s="181"/>
      <c r="DZM214" s="181"/>
      <c r="DZN214" s="181"/>
      <c r="DZO214" s="181"/>
      <c r="DZP214" s="181"/>
      <c r="DZQ214" s="181"/>
      <c r="DZR214" s="181"/>
      <c r="DZS214" s="181"/>
      <c r="DZT214" s="181"/>
      <c r="DZU214" s="181"/>
      <c r="DZV214" s="181"/>
      <c r="DZW214" s="181"/>
      <c r="DZX214" s="181"/>
      <c r="DZY214" s="181"/>
      <c r="DZZ214" s="181"/>
      <c r="EAA214" s="181"/>
      <c r="EAB214" s="181"/>
      <c r="EAC214" s="181"/>
      <c r="EAD214" s="181"/>
      <c r="EAE214" s="181"/>
      <c r="EAF214" s="181"/>
      <c r="EAG214" s="181"/>
      <c r="EAH214" s="181"/>
      <c r="EAI214" s="181"/>
      <c r="EAJ214" s="181"/>
      <c r="EAK214" s="181"/>
      <c r="EAL214" s="181"/>
      <c r="EAM214" s="181"/>
      <c r="EAN214" s="181"/>
      <c r="EAO214" s="181"/>
      <c r="EAP214" s="181"/>
      <c r="EAQ214" s="181"/>
      <c r="EAR214" s="181"/>
      <c r="EAS214" s="181"/>
      <c r="EAT214" s="181"/>
      <c r="EAU214" s="181"/>
      <c r="EAV214" s="181"/>
      <c r="EAW214" s="181"/>
      <c r="EAX214" s="181"/>
      <c r="EAY214" s="181"/>
      <c r="EAZ214" s="181"/>
      <c r="EBA214" s="181"/>
      <c r="EBB214" s="181"/>
      <c r="EBC214" s="181"/>
      <c r="EBD214" s="181"/>
      <c r="EBE214" s="181"/>
      <c r="EBF214" s="181"/>
      <c r="EBG214" s="181"/>
      <c r="EBH214" s="181"/>
      <c r="EBI214" s="181"/>
      <c r="EBJ214" s="181"/>
      <c r="EBK214" s="181"/>
      <c r="EBL214" s="181"/>
      <c r="EBM214" s="181"/>
      <c r="EBN214" s="181"/>
      <c r="EBO214" s="181"/>
      <c r="EBP214" s="181"/>
      <c r="EBQ214" s="181"/>
      <c r="EBR214" s="181"/>
      <c r="EBS214" s="181"/>
      <c r="EBT214" s="181"/>
      <c r="EBU214" s="181"/>
      <c r="EBV214" s="181"/>
      <c r="EBW214" s="181"/>
      <c r="EBX214" s="181"/>
      <c r="EBY214" s="181"/>
      <c r="EBZ214" s="181"/>
      <c r="ECA214" s="181"/>
      <c r="ECB214" s="181"/>
      <c r="ECC214" s="181"/>
      <c r="ECD214" s="181"/>
      <c r="ECE214" s="181"/>
      <c r="ECF214" s="181"/>
      <c r="ECG214" s="181"/>
      <c r="ECH214" s="181"/>
      <c r="ECI214" s="181"/>
      <c r="ECJ214" s="181"/>
      <c r="ECK214" s="181"/>
      <c r="ECL214" s="181"/>
      <c r="ECM214" s="181"/>
      <c r="ECN214" s="181"/>
      <c r="ECO214" s="181"/>
      <c r="ECP214" s="181"/>
      <c r="ECQ214" s="181"/>
      <c r="ECR214" s="181"/>
      <c r="ECS214" s="181"/>
      <c r="ECT214" s="181"/>
      <c r="ECU214" s="181"/>
      <c r="ECV214" s="181"/>
      <c r="ECW214" s="181"/>
      <c r="ECX214" s="181"/>
      <c r="ECY214" s="181"/>
      <c r="ECZ214" s="181"/>
      <c r="EDA214" s="181"/>
      <c r="EDB214" s="181"/>
      <c r="EDC214" s="181"/>
      <c r="EDD214" s="181"/>
      <c r="EDE214" s="181"/>
      <c r="EDF214" s="181"/>
      <c r="EDG214" s="181"/>
      <c r="EDH214" s="181"/>
      <c r="EDI214" s="181"/>
      <c r="EDJ214" s="181"/>
      <c r="EDK214" s="181"/>
      <c r="EDL214" s="181"/>
      <c r="EDM214" s="181"/>
      <c r="EDN214" s="181"/>
      <c r="EDO214" s="181"/>
      <c r="EDP214" s="181"/>
      <c r="EDQ214" s="181"/>
      <c r="EDR214" s="181"/>
      <c r="EDS214" s="181"/>
      <c r="EDT214" s="181"/>
      <c r="EDU214" s="181"/>
      <c r="EDV214" s="181"/>
      <c r="EDW214" s="181"/>
      <c r="EDX214" s="181"/>
      <c r="EDY214" s="181"/>
      <c r="EDZ214" s="181"/>
      <c r="EEA214" s="181"/>
      <c r="EEB214" s="181"/>
      <c r="EEC214" s="181"/>
      <c r="EED214" s="181"/>
      <c r="EEE214" s="181"/>
      <c r="EEF214" s="181"/>
      <c r="EEG214" s="181"/>
      <c r="EEH214" s="181"/>
      <c r="EEI214" s="181"/>
      <c r="EEJ214" s="181"/>
      <c r="EEK214" s="181"/>
      <c r="EEL214" s="181"/>
      <c r="EEM214" s="181"/>
      <c r="EEN214" s="181"/>
      <c r="EEO214" s="181"/>
      <c r="EEP214" s="181"/>
      <c r="EEQ214" s="181"/>
      <c r="EER214" s="181"/>
      <c r="EES214" s="181"/>
      <c r="EET214" s="181"/>
      <c r="EEU214" s="181"/>
      <c r="EEV214" s="181"/>
      <c r="EEW214" s="181"/>
      <c r="EEX214" s="181"/>
      <c r="EEY214" s="181"/>
      <c r="EEZ214" s="181"/>
      <c r="EFA214" s="181"/>
      <c r="EFB214" s="181"/>
      <c r="EFC214" s="181"/>
      <c r="EFD214" s="181"/>
      <c r="EFE214" s="181"/>
      <c r="EFF214" s="181"/>
      <c r="EFG214" s="181"/>
      <c r="EFH214" s="181"/>
      <c r="EFI214" s="181"/>
      <c r="EFJ214" s="181"/>
      <c r="EFK214" s="181"/>
      <c r="EFL214" s="181"/>
      <c r="EFM214" s="181"/>
      <c r="EFN214" s="181"/>
      <c r="EFO214" s="181"/>
      <c r="EFP214" s="181"/>
      <c r="EFQ214" s="181"/>
      <c r="EFR214" s="181"/>
      <c r="EFS214" s="181"/>
      <c r="EFT214" s="181"/>
      <c r="EFU214" s="181"/>
      <c r="EFV214" s="181"/>
      <c r="EFW214" s="181"/>
      <c r="EFX214" s="181"/>
      <c r="EFY214" s="181"/>
      <c r="EFZ214" s="181"/>
      <c r="EGA214" s="181"/>
      <c r="EGB214" s="181"/>
      <c r="EGC214" s="181"/>
      <c r="EGD214" s="181"/>
      <c r="EGE214" s="181"/>
      <c r="EGF214" s="181"/>
      <c r="EGG214" s="181"/>
      <c r="EGH214" s="181"/>
      <c r="EGI214" s="181"/>
      <c r="EGJ214" s="181"/>
      <c r="EGK214" s="181"/>
      <c r="EGL214" s="181"/>
      <c r="EGM214" s="181"/>
      <c r="EGN214" s="181"/>
      <c r="EGO214" s="181"/>
      <c r="EGP214" s="181"/>
      <c r="EGQ214" s="181"/>
      <c r="EGR214" s="181"/>
      <c r="EGS214" s="181"/>
      <c r="EGT214" s="181"/>
      <c r="EGU214" s="181"/>
      <c r="EGV214" s="181"/>
      <c r="EGW214" s="181"/>
      <c r="EGX214" s="181"/>
      <c r="EGY214" s="181"/>
      <c r="EGZ214" s="181"/>
      <c r="EHA214" s="181"/>
      <c r="EHB214" s="181"/>
      <c r="EHC214" s="181"/>
      <c r="EHD214" s="181"/>
      <c r="EHE214" s="181"/>
      <c r="EHF214" s="181"/>
      <c r="EHG214" s="181"/>
      <c r="EHH214" s="181"/>
      <c r="EHI214" s="181"/>
      <c r="EHJ214" s="181"/>
      <c r="EHK214" s="181"/>
      <c r="EHL214" s="181"/>
      <c r="EHM214" s="181"/>
      <c r="EHN214" s="181"/>
      <c r="EHO214" s="181"/>
      <c r="EHP214" s="181"/>
      <c r="EHQ214" s="181"/>
      <c r="EHR214" s="181"/>
      <c r="EHS214" s="181"/>
      <c r="EHT214" s="181"/>
      <c r="EHU214" s="181"/>
      <c r="EHV214" s="181"/>
      <c r="EHW214" s="181"/>
      <c r="EHX214" s="181"/>
      <c r="EHY214" s="181"/>
      <c r="EHZ214" s="181"/>
      <c r="EIA214" s="181"/>
      <c r="EIB214" s="181"/>
      <c r="EIC214" s="181"/>
      <c r="EID214" s="181"/>
      <c r="EIE214" s="181"/>
      <c r="EIF214" s="181"/>
      <c r="EIG214" s="181"/>
      <c r="EIH214" s="181"/>
      <c r="EII214" s="181"/>
      <c r="EIJ214" s="181"/>
      <c r="EIK214" s="181"/>
      <c r="EIL214" s="181"/>
      <c r="EIM214" s="181"/>
      <c r="EIN214" s="181"/>
      <c r="EIO214" s="181"/>
      <c r="EIP214" s="181"/>
      <c r="EIQ214" s="181"/>
      <c r="EIR214" s="181"/>
      <c r="EIS214" s="181"/>
      <c r="EIT214" s="181"/>
      <c r="EIU214" s="181"/>
      <c r="EIV214" s="181"/>
      <c r="EIW214" s="181"/>
      <c r="EIX214" s="181"/>
      <c r="EIY214" s="181"/>
      <c r="EIZ214" s="181"/>
      <c r="EJA214" s="181"/>
      <c r="EJB214" s="181"/>
      <c r="EJC214" s="181"/>
      <c r="EJD214" s="181"/>
      <c r="EJE214" s="181"/>
      <c r="EJF214" s="181"/>
      <c r="EJG214" s="181"/>
      <c r="EJH214" s="181"/>
      <c r="EJI214" s="181"/>
      <c r="EJJ214" s="181"/>
      <c r="EJK214" s="181"/>
      <c r="EJL214" s="181"/>
      <c r="EJM214" s="181"/>
      <c r="EJN214" s="181"/>
      <c r="EJO214" s="181"/>
      <c r="EJP214" s="181"/>
      <c r="EJQ214" s="181"/>
      <c r="EJR214" s="181"/>
      <c r="EJS214" s="181"/>
      <c r="EJT214" s="181"/>
      <c r="EJU214" s="181"/>
      <c r="EJV214" s="181"/>
      <c r="EJW214" s="181"/>
      <c r="EJX214" s="181"/>
      <c r="EJY214" s="181"/>
      <c r="EJZ214" s="181"/>
      <c r="EKA214" s="181"/>
      <c r="EKB214" s="181"/>
      <c r="EKC214" s="181"/>
      <c r="EKD214" s="181"/>
      <c r="EKE214" s="181"/>
      <c r="EKF214" s="181"/>
      <c r="EKG214" s="181"/>
      <c r="EKH214" s="181"/>
      <c r="EKI214" s="181"/>
      <c r="EKJ214" s="181"/>
      <c r="EKK214" s="181"/>
      <c r="EKL214" s="181"/>
      <c r="EKM214" s="181"/>
      <c r="EKN214" s="181"/>
      <c r="EKO214" s="181"/>
      <c r="EKP214" s="181"/>
      <c r="EKQ214" s="181"/>
      <c r="EKR214" s="181"/>
      <c r="EKS214" s="181"/>
      <c r="EKT214" s="181"/>
      <c r="EKU214" s="181"/>
      <c r="EKV214" s="181"/>
      <c r="EKW214" s="181"/>
      <c r="EKX214" s="181"/>
      <c r="EKY214" s="181"/>
      <c r="EKZ214" s="181"/>
      <c r="ELA214" s="181"/>
      <c r="ELB214" s="181"/>
      <c r="ELC214" s="181"/>
      <c r="ELD214" s="181"/>
      <c r="ELE214" s="181"/>
      <c r="ELF214" s="181"/>
      <c r="ELG214" s="181"/>
      <c r="ELH214" s="181"/>
      <c r="ELI214" s="181"/>
      <c r="ELJ214" s="181"/>
      <c r="ELK214" s="181"/>
      <c r="ELL214" s="181"/>
      <c r="ELM214" s="181"/>
      <c r="ELN214" s="181"/>
      <c r="ELO214" s="181"/>
      <c r="ELP214" s="181"/>
      <c r="ELQ214" s="181"/>
      <c r="ELR214" s="181"/>
      <c r="ELS214" s="181"/>
      <c r="ELT214" s="181"/>
      <c r="ELU214" s="181"/>
      <c r="ELV214" s="181"/>
      <c r="ELW214" s="181"/>
      <c r="ELX214" s="181"/>
      <c r="ELY214" s="181"/>
      <c r="ELZ214" s="181"/>
      <c r="EMA214" s="181"/>
      <c r="EMB214" s="181"/>
      <c r="EMC214" s="181"/>
      <c r="EMD214" s="181"/>
      <c r="EME214" s="181"/>
      <c r="EMF214" s="181"/>
      <c r="EMG214" s="181"/>
      <c r="EMH214" s="181"/>
      <c r="EMI214" s="181"/>
      <c r="EMJ214" s="181"/>
      <c r="EMK214" s="181"/>
      <c r="EML214" s="181"/>
      <c r="EMM214" s="181"/>
      <c r="EMN214" s="181"/>
      <c r="EMO214" s="181"/>
      <c r="EMP214" s="181"/>
      <c r="EMQ214" s="181"/>
      <c r="EMR214" s="181"/>
      <c r="EMS214" s="181"/>
      <c r="EMT214" s="181"/>
      <c r="EMU214" s="181"/>
      <c r="EMV214" s="181"/>
      <c r="EMW214" s="181"/>
      <c r="EMX214" s="181"/>
      <c r="EMY214" s="181"/>
      <c r="EMZ214" s="181"/>
      <c r="ENA214" s="181"/>
      <c r="ENB214" s="181"/>
      <c r="ENC214" s="181"/>
      <c r="END214" s="181"/>
      <c r="ENE214" s="181"/>
      <c r="ENF214" s="181"/>
      <c r="ENG214" s="181"/>
      <c r="ENH214" s="181"/>
      <c r="ENI214" s="181"/>
      <c r="ENJ214" s="181"/>
      <c r="ENK214" s="181"/>
      <c r="ENL214" s="181"/>
      <c r="ENM214" s="181"/>
      <c r="ENN214" s="181"/>
      <c r="ENO214" s="181"/>
      <c r="ENP214" s="181"/>
      <c r="ENQ214" s="181"/>
      <c r="ENR214" s="181"/>
      <c r="ENS214" s="181"/>
      <c r="ENT214" s="181"/>
      <c r="ENU214" s="181"/>
      <c r="ENV214" s="181"/>
      <c r="ENW214" s="181"/>
      <c r="ENX214" s="181"/>
      <c r="ENY214" s="181"/>
      <c r="ENZ214" s="181"/>
      <c r="EOA214" s="181"/>
      <c r="EOB214" s="181"/>
      <c r="EOC214" s="181"/>
      <c r="EOD214" s="181"/>
      <c r="EOE214" s="181"/>
      <c r="EOF214" s="181"/>
      <c r="EOG214" s="181"/>
      <c r="EOH214" s="181"/>
      <c r="EOI214" s="181"/>
      <c r="EOJ214" s="181"/>
      <c r="EOK214" s="181"/>
      <c r="EOL214" s="181"/>
      <c r="EOM214" s="181"/>
      <c r="EON214" s="181"/>
      <c r="EOO214" s="181"/>
      <c r="EOP214" s="181"/>
      <c r="EOQ214" s="181"/>
      <c r="EOR214" s="181"/>
      <c r="EOS214" s="181"/>
      <c r="EOT214" s="181"/>
      <c r="EOU214" s="181"/>
      <c r="EOV214" s="181"/>
      <c r="EOW214" s="181"/>
      <c r="EOX214" s="181"/>
      <c r="EOY214" s="181"/>
      <c r="EOZ214" s="181"/>
      <c r="EPA214" s="181"/>
      <c r="EPB214" s="181"/>
      <c r="EPC214" s="181"/>
      <c r="EPD214" s="181"/>
      <c r="EPE214" s="181"/>
      <c r="EPF214" s="181"/>
      <c r="EPG214" s="181"/>
      <c r="EPH214" s="181"/>
      <c r="EPI214" s="181"/>
      <c r="EPJ214" s="181"/>
      <c r="EPK214" s="181"/>
      <c r="EPL214" s="181"/>
      <c r="EPM214" s="181"/>
      <c r="EPN214" s="181"/>
      <c r="EPO214" s="181"/>
      <c r="EPP214" s="181"/>
      <c r="EPQ214" s="181"/>
      <c r="EPR214" s="181"/>
      <c r="EPS214" s="181"/>
      <c r="EPT214" s="181"/>
      <c r="EPU214" s="181"/>
      <c r="EPV214" s="181"/>
      <c r="EPW214" s="181"/>
      <c r="EPX214" s="181"/>
      <c r="EPY214" s="181"/>
      <c r="EPZ214" s="181"/>
      <c r="EQA214" s="181"/>
      <c r="EQB214" s="181"/>
      <c r="EQC214" s="181"/>
      <c r="EQD214" s="181"/>
      <c r="EQE214" s="181"/>
      <c r="EQF214" s="181"/>
      <c r="EQG214" s="181"/>
      <c r="EQH214" s="181"/>
      <c r="EQI214" s="181"/>
      <c r="EQJ214" s="181"/>
      <c r="EQK214" s="181"/>
      <c r="EQL214" s="181"/>
      <c r="EQM214" s="181"/>
      <c r="EQN214" s="181"/>
      <c r="EQO214" s="181"/>
      <c r="EQP214" s="181"/>
      <c r="EQQ214" s="181"/>
      <c r="EQR214" s="181"/>
      <c r="EQS214" s="181"/>
      <c r="EQT214" s="181"/>
      <c r="EQU214" s="181"/>
      <c r="EQV214" s="181"/>
      <c r="EQW214" s="181"/>
      <c r="EQX214" s="181"/>
      <c r="EQY214" s="181"/>
      <c r="EQZ214" s="181"/>
      <c r="ERA214" s="181"/>
      <c r="ERB214" s="181"/>
      <c r="ERC214" s="181"/>
      <c r="ERD214" s="181"/>
      <c r="ERE214" s="181"/>
      <c r="ERF214" s="181"/>
      <c r="ERG214" s="181"/>
      <c r="ERH214" s="181"/>
      <c r="ERI214" s="181"/>
      <c r="ERJ214" s="181"/>
      <c r="ERK214" s="181"/>
      <c r="ERL214" s="181"/>
      <c r="ERM214" s="181"/>
      <c r="ERN214" s="181"/>
      <c r="ERO214" s="181"/>
      <c r="ERP214" s="181"/>
      <c r="ERQ214" s="181"/>
      <c r="ERR214" s="181"/>
      <c r="ERS214" s="181"/>
      <c r="ERT214" s="181"/>
      <c r="ERU214" s="181"/>
      <c r="ERV214" s="181"/>
      <c r="ERW214" s="181"/>
      <c r="ERX214" s="181"/>
      <c r="ERY214" s="181"/>
      <c r="ERZ214" s="181"/>
      <c r="ESA214" s="181"/>
      <c r="ESB214" s="181"/>
      <c r="ESC214" s="181"/>
      <c r="ESD214" s="181"/>
      <c r="ESE214" s="181"/>
      <c r="ESF214" s="181"/>
      <c r="ESG214" s="181"/>
      <c r="ESH214" s="181"/>
      <c r="ESI214" s="181"/>
      <c r="ESJ214" s="181"/>
      <c r="ESK214" s="181"/>
      <c r="ESL214" s="181"/>
      <c r="ESM214" s="181"/>
      <c r="ESN214" s="181"/>
      <c r="ESO214" s="181"/>
      <c r="ESP214" s="181"/>
      <c r="ESQ214" s="181"/>
      <c r="ESR214" s="181"/>
      <c r="ESS214" s="181"/>
      <c r="EST214" s="181"/>
      <c r="ESU214" s="181"/>
      <c r="ESV214" s="181"/>
      <c r="ESW214" s="181"/>
      <c r="ESX214" s="181"/>
      <c r="ESY214" s="181"/>
      <c r="ESZ214" s="181"/>
      <c r="ETA214" s="181"/>
      <c r="ETB214" s="181"/>
      <c r="ETC214" s="181"/>
      <c r="ETD214" s="181"/>
      <c r="ETE214" s="181"/>
      <c r="ETF214" s="181"/>
      <c r="ETG214" s="181"/>
      <c r="ETH214" s="181"/>
      <c r="ETI214" s="181"/>
      <c r="ETJ214" s="181"/>
      <c r="ETK214" s="181"/>
      <c r="ETL214" s="181"/>
      <c r="ETM214" s="181"/>
      <c r="ETN214" s="181"/>
      <c r="ETO214" s="181"/>
      <c r="ETP214" s="181"/>
      <c r="ETQ214" s="181"/>
      <c r="ETR214" s="181"/>
      <c r="ETS214" s="181"/>
      <c r="ETT214" s="181"/>
      <c r="ETU214" s="181"/>
      <c r="ETV214" s="181"/>
      <c r="ETW214" s="181"/>
      <c r="ETX214" s="181"/>
      <c r="ETY214" s="181"/>
      <c r="ETZ214" s="181"/>
      <c r="EUA214" s="181"/>
      <c r="EUB214" s="181"/>
      <c r="EUC214" s="181"/>
      <c r="EUD214" s="181"/>
      <c r="EUE214" s="181"/>
      <c r="EUF214" s="181"/>
      <c r="EUG214" s="181"/>
      <c r="EUH214" s="181"/>
      <c r="EUI214" s="181"/>
      <c r="EUJ214" s="181"/>
      <c r="EUK214" s="181"/>
      <c r="EUL214" s="181"/>
      <c r="EUM214" s="181"/>
      <c r="EUN214" s="181"/>
      <c r="EUO214" s="181"/>
      <c r="EUP214" s="181"/>
      <c r="EUQ214" s="181"/>
      <c r="EUR214" s="181"/>
      <c r="EUS214" s="181"/>
      <c r="EUT214" s="181"/>
      <c r="EUU214" s="181"/>
      <c r="EUV214" s="181"/>
      <c r="EUW214" s="181"/>
      <c r="EUX214" s="181"/>
      <c r="EUY214" s="181"/>
      <c r="EUZ214" s="181"/>
      <c r="EVA214" s="181"/>
      <c r="EVB214" s="181"/>
      <c r="EVC214" s="181"/>
      <c r="EVD214" s="181"/>
      <c r="EVE214" s="181"/>
      <c r="EVF214" s="181"/>
      <c r="EVG214" s="181"/>
      <c r="EVH214" s="181"/>
      <c r="EVI214" s="181"/>
      <c r="EVJ214" s="181"/>
      <c r="EVK214" s="181"/>
      <c r="EVL214" s="181"/>
      <c r="EVM214" s="181"/>
      <c r="EVN214" s="181"/>
      <c r="EVO214" s="181"/>
      <c r="EVP214" s="181"/>
      <c r="EVQ214" s="181"/>
      <c r="EVR214" s="181"/>
      <c r="EVS214" s="181"/>
      <c r="EVT214" s="181"/>
      <c r="EVU214" s="181"/>
      <c r="EVV214" s="181"/>
      <c r="EVW214" s="181"/>
      <c r="EVX214" s="181"/>
      <c r="EVY214" s="181"/>
      <c r="EVZ214" s="181"/>
      <c r="EWA214" s="181"/>
      <c r="EWB214" s="181"/>
      <c r="EWC214" s="181"/>
      <c r="EWD214" s="181"/>
      <c r="EWE214" s="181"/>
      <c r="EWF214" s="181"/>
      <c r="EWG214" s="181"/>
      <c r="EWH214" s="181"/>
      <c r="EWI214" s="181"/>
      <c r="EWJ214" s="181"/>
      <c r="EWK214" s="181"/>
      <c r="EWL214" s="181"/>
      <c r="EWM214" s="181"/>
      <c r="EWN214" s="181"/>
      <c r="EWO214" s="181"/>
      <c r="EWP214" s="181"/>
      <c r="EWQ214" s="181"/>
      <c r="EWR214" s="181"/>
      <c r="EWS214" s="181"/>
      <c r="EWT214" s="181"/>
      <c r="EWU214" s="181"/>
      <c r="EWV214" s="181"/>
      <c r="EWW214" s="181"/>
      <c r="EWX214" s="181"/>
      <c r="EWY214" s="181"/>
      <c r="EWZ214" s="181"/>
      <c r="EXA214" s="181"/>
      <c r="EXB214" s="181"/>
      <c r="EXC214" s="181"/>
      <c r="EXD214" s="181"/>
      <c r="EXE214" s="181"/>
      <c r="EXF214" s="181"/>
      <c r="EXG214" s="181"/>
      <c r="EXH214" s="181"/>
      <c r="EXI214" s="181"/>
      <c r="EXJ214" s="181"/>
      <c r="EXK214" s="181"/>
      <c r="EXL214" s="181"/>
      <c r="EXM214" s="181"/>
      <c r="EXN214" s="181"/>
      <c r="EXO214" s="181"/>
      <c r="EXP214" s="181"/>
      <c r="EXQ214" s="181"/>
      <c r="EXR214" s="181"/>
      <c r="EXS214" s="181"/>
      <c r="EXT214" s="181"/>
      <c r="EXU214" s="181"/>
      <c r="EXV214" s="181"/>
      <c r="EXW214" s="181"/>
      <c r="EXX214" s="181"/>
      <c r="EXY214" s="181"/>
      <c r="EXZ214" s="181"/>
      <c r="EYA214" s="181"/>
      <c r="EYB214" s="181"/>
      <c r="EYC214" s="181"/>
      <c r="EYD214" s="181"/>
      <c r="EYE214" s="181"/>
      <c r="EYF214" s="181"/>
      <c r="EYG214" s="181"/>
      <c r="EYH214" s="181"/>
      <c r="EYI214" s="181"/>
      <c r="EYJ214" s="181"/>
      <c r="EYK214" s="181"/>
      <c r="EYL214" s="181"/>
      <c r="EYM214" s="181"/>
      <c r="EYN214" s="181"/>
      <c r="EYO214" s="181"/>
      <c r="EYP214" s="181"/>
      <c r="EYQ214" s="181"/>
      <c r="EYR214" s="181"/>
      <c r="EYS214" s="181"/>
      <c r="EYT214" s="181"/>
      <c r="EYU214" s="181"/>
      <c r="EYV214" s="181"/>
      <c r="EYW214" s="181"/>
      <c r="EYX214" s="181"/>
      <c r="EYY214" s="181"/>
      <c r="EYZ214" s="181"/>
      <c r="EZA214" s="181"/>
      <c r="EZB214" s="181"/>
      <c r="EZC214" s="181"/>
      <c r="EZD214" s="181"/>
      <c r="EZE214" s="181"/>
      <c r="EZF214" s="181"/>
      <c r="EZG214" s="181"/>
      <c r="EZH214" s="181"/>
      <c r="EZI214" s="181"/>
      <c r="EZJ214" s="181"/>
      <c r="EZK214" s="181"/>
      <c r="EZL214" s="181"/>
      <c r="EZM214" s="181"/>
      <c r="EZN214" s="181"/>
      <c r="EZO214" s="181"/>
      <c r="EZP214" s="181"/>
      <c r="EZQ214" s="181"/>
      <c r="EZR214" s="181"/>
      <c r="EZS214" s="181"/>
      <c r="EZT214" s="181"/>
      <c r="EZU214" s="181"/>
      <c r="EZV214" s="181"/>
      <c r="EZW214" s="181"/>
      <c r="EZX214" s="181"/>
      <c r="EZY214" s="181"/>
      <c r="EZZ214" s="181"/>
      <c r="FAA214" s="181"/>
      <c r="FAB214" s="181"/>
      <c r="FAC214" s="181"/>
      <c r="FAD214" s="181"/>
      <c r="FAE214" s="181"/>
      <c r="FAF214" s="181"/>
      <c r="FAG214" s="181"/>
      <c r="FAH214" s="181"/>
      <c r="FAI214" s="181"/>
      <c r="FAJ214" s="181"/>
      <c r="FAK214" s="181"/>
      <c r="FAL214" s="181"/>
      <c r="FAM214" s="181"/>
      <c r="FAN214" s="181"/>
      <c r="FAO214" s="181"/>
      <c r="FAP214" s="181"/>
      <c r="FAQ214" s="181"/>
      <c r="FAR214" s="181"/>
      <c r="FAS214" s="181"/>
      <c r="FAT214" s="181"/>
      <c r="FAU214" s="181"/>
      <c r="FAV214" s="181"/>
      <c r="FAW214" s="181"/>
      <c r="FAX214" s="181"/>
      <c r="FAY214" s="181"/>
      <c r="FAZ214" s="181"/>
      <c r="FBA214" s="181"/>
      <c r="FBB214" s="181"/>
      <c r="FBC214" s="181"/>
      <c r="FBD214" s="181"/>
      <c r="FBE214" s="181"/>
      <c r="FBF214" s="181"/>
      <c r="FBG214" s="181"/>
      <c r="FBH214" s="181"/>
      <c r="FBI214" s="181"/>
      <c r="FBJ214" s="181"/>
      <c r="FBK214" s="181"/>
      <c r="FBL214" s="181"/>
      <c r="FBM214" s="181"/>
      <c r="FBN214" s="181"/>
      <c r="FBO214" s="181"/>
      <c r="FBP214" s="181"/>
      <c r="FBQ214" s="181"/>
      <c r="FBR214" s="181"/>
      <c r="FBS214" s="181"/>
      <c r="FBT214" s="181"/>
      <c r="FBU214" s="181"/>
      <c r="FBV214" s="181"/>
      <c r="FBW214" s="181"/>
      <c r="FBX214" s="181"/>
      <c r="FBY214" s="181"/>
      <c r="FBZ214" s="181"/>
      <c r="FCA214" s="181"/>
      <c r="FCB214" s="181"/>
      <c r="FCC214" s="181"/>
      <c r="FCD214" s="181"/>
      <c r="FCE214" s="181"/>
      <c r="FCF214" s="181"/>
      <c r="FCG214" s="181"/>
      <c r="FCH214" s="181"/>
      <c r="FCI214" s="181"/>
      <c r="FCJ214" s="181"/>
      <c r="FCK214" s="181"/>
      <c r="FCL214" s="181"/>
      <c r="FCM214" s="181"/>
      <c r="FCN214" s="181"/>
      <c r="FCO214" s="181"/>
      <c r="FCP214" s="181"/>
      <c r="FCQ214" s="181"/>
      <c r="FCR214" s="181"/>
      <c r="FCS214" s="181"/>
      <c r="FCT214" s="181"/>
      <c r="FCU214" s="181"/>
      <c r="FCV214" s="181"/>
      <c r="FCW214" s="181"/>
      <c r="FCX214" s="181"/>
      <c r="FCY214" s="181"/>
      <c r="FCZ214" s="181"/>
      <c r="FDA214" s="181"/>
      <c r="FDB214" s="181"/>
      <c r="FDC214" s="181"/>
      <c r="FDD214" s="181"/>
      <c r="FDE214" s="181"/>
      <c r="FDF214" s="181"/>
      <c r="FDG214" s="181"/>
      <c r="FDH214" s="181"/>
      <c r="FDI214" s="181"/>
      <c r="FDJ214" s="181"/>
      <c r="FDK214" s="181"/>
      <c r="FDL214" s="181"/>
      <c r="FDM214" s="181"/>
      <c r="FDN214" s="181"/>
      <c r="FDO214" s="181"/>
      <c r="FDP214" s="181"/>
      <c r="FDQ214" s="181"/>
      <c r="FDR214" s="181"/>
      <c r="FDS214" s="181"/>
      <c r="FDT214" s="181"/>
      <c r="FDU214" s="181"/>
      <c r="FDV214" s="181"/>
      <c r="FDW214" s="181"/>
      <c r="FDX214" s="181"/>
      <c r="FDY214" s="181"/>
      <c r="FDZ214" s="181"/>
      <c r="FEA214" s="181"/>
      <c r="FEB214" s="181"/>
      <c r="FEC214" s="181"/>
      <c r="FED214" s="181"/>
      <c r="FEE214" s="181"/>
      <c r="FEF214" s="181"/>
      <c r="FEG214" s="181"/>
      <c r="FEH214" s="181"/>
      <c r="FEI214" s="181"/>
      <c r="FEJ214" s="181"/>
      <c r="FEK214" s="181"/>
      <c r="FEL214" s="181"/>
      <c r="FEM214" s="181"/>
      <c r="FEN214" s="181"/>
      <c r="FEO214" s="181"/>
      <c r="FEP214" s="181"/>
      <c r="FEQ214" s="181"/>
      <c r="FER214" s="181"/>
      <c r="FES214" s="181"/>
      <c r="FET214" s="181"/>
      <c r="FEU214" s="181"/>
      <c r="FEV214" s="181"/>
      <c r="FEW214" s="181"/>
      <c r="FEX214" s="181"/>
      <c r="FEY214" s="181"/>
      <c r="FEZ214" s="181"/>
      <c r="FFA214" s="181"/>
      <c r="FFB214" s="181"/>
      <c r="FFC214" s="181"/>
      <c r="FFD214" s="181"/>
      <c r="FFE214" s="181"/>
      <c r="FFF214" s="181"/>
      <c r="FFG214" s="181"/>
      <c r="FFH214" s="181"/>
      <c r="FFI214" s="181"/>
      <c r="FFJ214" s="181"/>
      <c r="FFK214" s="181"/>
      <c r="FFL214" s="181"/>
      <c r="FFM214" s="181"/>
      <c r="FFN214" s="181"/>
      <c r="FFO214" s="181"/>
      <c r="FFP214" s="181"/>
      <c r="FFQ214" s="181"/>
      <c r="FFR214" s="181"/>
      <c r="FFS214" s="181"/>
      <c r="FFT214" s="181"/>
      <c r="FFU214" s="181"/>
      <c r="FFV214" s="181"/>
      <c r="FFW214" s="181"/>
      <c r="FFX214" s="181"/>
      <c r="FFY214" s="181"/>
      <c r="FFZ214" s="181"/>
      <c r="FGA214" s="181"/>
      <c r="FGB214" s="181"/>
      <c r="FGC214" s="181"/>
      <c r="FGD214" s="181"/>
      <c r="FGE214" s="181"/>
      <c r="FGF214" s="181"/>
      <c r="FGG214" s="181"/>
      <c r="FGH214" s="181"/>
      <c r="FGI214" s="181"/>
      <c r="FGJ214" s="181"/>
      <c r="FGK214" s="181"/>
      <c r="FGL214" s="181"/>
      <c r="FGM214" s="181"/>
      <c r="FGN214" s="181"/>
      <c r="FGO214" s="181"/>
      <c r="FGP214" s="181"/>
      <c r="FGQ214" s="181"/>
      <c r="FGR214" s="181"/>
      <c r="FGS214" s="181"/>
      <c r="FGT214" s="181"/>
      <c r="FGU214" s="181"/>
      <c r="FGV214" s="181"/>
      <c r="FGW214" s="181"/>
      <c r="FGX214" s="181"/>
      <c r="FGY214" s="181"/>
      <c r="FGZ214" s="181"/>
      <c r="FHA214" s="181"/>
      <c r="FHB214" s="181"/>
      <c r="FHC214" s="181"/>
      <c r="FHD214" s="181"/>
      <c r="FHE214" s="181"/>
      <c r="FHF214" s="181"/>
      <c r="FHG214" s="181"/>
      <c r="FHH214" s="181"/>
      <c r="FHI214" s="181"/>
      <c r="FHJ214" s="181"/>
      <c r="FHK214" s="181"/>
      <c r="FHL214" s="181"/>
      <c r="FHM214" s="181"/>
      <c r="FHN214" s="181"/>
      <c r="FHO214" s="181"/>
      <c r="FHP214" s="181"/>
      <c r="FHQ214" s="181"/>
      <c r="FHR214" s="181"/>
      <c r="FHS214" s="181"/>
      <c r="FHT214" s="181"/>
      <c r="FHU214" s="181"/>
      <c r="FHV214" s="181"/>
      <c r="FHW214" s="181"/>
      <c r="FHX214" s="181"/>
      <c r="FHY214" s="181"/>
      <c r="FHZ214" s="181"/>
      <c r="FIA214" s="181"/>
      <c r="FIB214" s="181"/>
      <c r="FIC214" s="181"/>
      <c r="FID214" s="181"/>
      <c r="FIE214" s="181"/>
      <c r="FIF214" s="181"/>
      <c r="FIG214" s="181"/>
      <c r="FIH214" s="181"/>
      <c r="FII214" s="181"/>
      <c r="FIJ214" s="181"/>
      <c r="FIK214" s="181"/>
      <c r="FIL214" s="181"/>
      <c r="FIM214" s="181"/>
      <c r="FIN214" s="181"/>
      <c r="FIO214" s="181"/>
      <c r="FIP214" s="181"/>
      <c r="FIQ214" s="181"/>
      <c r="FIR214" s="181"/>
      <c r="FIS214" s="181"/>
      <c r="FIT214" s="181"/>
      <c r="FIU214" s="181"/>
      <c r="FIV214" s="181"/>
      <c r="FIW214" s="181"/>
      <c r="FIX214" s="181"/>
      <c r="FIY214" s="181"/>
      <c r="FIZ214" s="181"/>
      <c r="FJA214" s="181"/>
      <c r="FJB214" s="181"/>
      <c r="FJC214" s="181"/>
      <c r="FJD214" s="181"/>
      <c r="FJE214" s="181"/>
      <c r="FJF214" s="181"/>
      <c r="FJG214" s="181"/>
      <c r="FJH214" s="181"/>
      <c r="FJI214" s="181"/>
      <c r="FJJ214" s="181"/>
      <c r="FJK214" s="181"/>
      <c r="FJL214" s="181"/>
      <c r="FJM214" s="181"/>
      <c r="FJN214" s="181"/>
      <c r="FJO214" s="181"/>
      <c r="FJP214" s="181"/>
      <c r="FJQ214" s="181"/>
      <c r="FJR214" s="181"/>
      <c r="FJS214" s="181"/>
      <c r="FJT214" s="181"/>
      <c r="FJU214" s="181"/>
      <c r="FJV214" s="181"/>
      <c r="FJW214" s="181"/>
      <c r="FJX214" s="181"/>
      <c r="FJY214" s="181"/>
      <c r="FJZ214" s="181"/>
      <c r="FKA214" s="181"/>
      <c r="FKB214" s="181"/>
      <c r="FKC214" s="181"/>
      <c r="FKD214" s="181"/>
      <c r="FKE214" s="181"/>
      <c r="FKF214" s="181"/>
      <c r="FKG214" s="181"/>
      <c r="FKH214" s="181"/>
      <c r="FKI214" s="181"/>
      <c r="FKJ214" s="181"/>
      <c r="FKK214" s="181"/>
      <c r="FKL214" s="181"/>
      <c r="FKM214" s="181"/>
      <c r="FKN214" s="181"/>
      <c r="FKO214" s="181"/>
      <c r="FKP214" s="181"/>
      <c r="FKQ214" s="181"/>
      <c r="FKR214" s="181"/>
      <c r="FKS214" s="181"/>
      <c r="FKT214" s="181"/>
      <c r="FKU214" s="181"/>
      <c r="FKV214" s="181"/>
      <c r="FKW214" s="181"/>
      <c r="FKX214" s="181"/>
      <c r="FKY214" s="181"/>
      <c r="FKZ214" s="181"/>
      <c r="FLA214" s="181"/>
      <c r="FLB214" s="181"/>
      <c r="FLC214" s="181"/>
      <c r="FLD214" s="181"/>
      <c r="FLE214" s="181"/>
      <c r="FLF214" s="181"/>
      <c r="FLG214" s="181"/>
      <c r="FLH214" s="181"/>
      <c r="FLI214" s="181"/>
      <c r="FLJ214" s="181"/>
      <c r="FLK214" s="181"/>
      <c r="FLL214" s="181"/>
      <c r="FLM214" s="181"/>
      <c r="FLN214" s="181"/>
      <c r="FLO214" s="181"/>
      <c r="FLP214" s="181"/>
      <c r="FLQ214" s="181"/>
      <c r="FLR214" s="181"/>
      <c r="FLS214" s="181"/>
      <c r="FLT214" s="181"/>
      <c r="FLU214" s="181"/>
      <c r="FLV214" s="181"/>
      <c r="FLW214" s="181"/>
      <c r="FLX214" s="181"/>
      <c r="FLY214" s="181"/>
      <c r="FLZ214" s="181"/>
      <c r="FMA214" s="181"/>
      <c r="FMB214" s="181"/>
      <c r="FMC214" s="181"/>
      <c r="FMD214" s="181"/>
      <c r="FME214" s="181"/>
      <c r="FMF214" s="181"/>
      <c r="FMG214" s="181"/>
      <c r="FMH214" s="181"/>
      <c r="FMI214" s="181"/>
      <c r="FMJ214" s="181"/>
      <c r="FMK214" s="181"/>
      <c r="FML214" s="181"/>
      <c r="FMM214" s="181"/>
      <c r="FMN214" s="181"/>
      <c r="FMO214" s="181"/>
      <c r="FMP214" s="181"/>
      <c r="FMQ214" s="181"/>
      <c r="FMR214" s="181"/>
      <c r="FMS214" s="181"/>
      <c r="FMT214" s="181"/>
      <c r="FMU214" s="181"/>
      <c r="FMV214" s="181"/>
      <c r="FMW214" s="181"/>
      <c r="FMX214" s="181"/>
      <c r="FMY214" s="181"/>
      <c r="FMZ214" s="181"/>
      <c r="FNA214" s="181"/>
      <c r="FNB214" s="181"/>
      <c r="FNC214" s="181"/>
      <c r="FND214" s="181"/>
      <c r="FNE214" s="181"/>
      <c r="FNF214" s="181"/>
      <c r="FNG214" s="181"/>
      <c r="FNH214" s="181"/>
      <c r="FNI214" s="181"/>
      <c r="FNJ214" s="181"/>
      <c r="FNK214" s="181"/>
      <c r="FNL214" s="181"/>
      <c r="FNM214" s="181"/>
      <c r="FNN214" s="181"/>
      <c r="FNO214" s="181"/>
      <c r="FNP214" s="181"/>
      <c r="FNQ214" s="181"/>
      <c r="FNR214" s="181"/>
      <c r="FNS214" s="181"/>
      <c r="FNT214" s="181"/>
      <c r="FNU214" s="181"/>
      <c r="FNV214" s="181"/>
      <c r="FNW214" s="181"/>
      <c r="FNX214" s="181"/>
      <c r="FNY214" s="181"/>
      <c r="FNZ214" s="181"/>
      <c r="FOA214" s="181"/>
      <c r="FOB214" s="181"/>
      <c r="FOC214" s="181"/>
      <c r="FOD214" s="181"/>
      <c r="FOE214" s="181"/>
      <c r="FOF214" s="181"/>
      <c r="FOG214" s="181"/>
      <c r="FOH214" s="181"/>
      <c r="FOI214" s="181"/>
      <c r="FOJ214" s="181"/>
      <c r="FOK214" s="181"/>
      <c r="FOL214" s="181"/>
      <c r="FOM214" s="181"/>
      <c r="FON214" s="181"/>
      <c r="FOO214" s="181"/>
      <c r="FOP214" s="181"/>
      <c r="FOQ214" s="181"/>
      <c r="FOR214" s="181"/>
      <c r="FOS214" s="181"/>
      <c r="FOT214" s="181"/>
      <c r="FOU214" s="181"/>
      <c r="FOV214" s="181"/>
      <c r="FOW214" s="181"/>
      <c r="FOX214" s="181"/>
      <c r="FOY214" s="181"/>
      <c r="FOZ214" s="181"/>
      <c r="FPA214" s="181"/>
      <c r="FPB214" s="181"/>
      <c r="FPC214" s="181"/>
      <c r="FPD214" s="181"/>
      <c r="FPE214" s="181"/>
      <c r="FPF214" s="181"/>
      <c r="FPG214" s="181"/>
      <c r="FPH214" s="181"/>
      <c r="FPI214" s="181"/>
      <c r="FPJ214" s="181"/>
      <c r="FPK214" s="181"/>
      <c r="FPL214" s="181"/>
      <c r="FPM214" s="181"/>
      <c r="FPN214" s="181"/>
      <c r="FPO214" s="181"/>
      <c r="FPP214" s="181"/>
      <c r="FPQ214" s="181"/>
      <c r="FPR214" s="181"/>
      <c r="FPS214" s="181"/>
      <c r="FPT214" s="181"/>
      <c r="FPU214" s="181"/>
      <c r="FPV214" s="181"/>
      <c r="FPW214" s="181"/>
      <c r="FPX214" s="181"/>
      <c r="FPY214" s="181"/>
      <c r="FPZ214" s="181"/>
      <c r="FQA214" s="181"/>
      <c r="FQB214" s="181"/>
      <c r="FQC214" s="181"/>
      <c r="FQD214" s="181"/>
      <c r="FQE214" s="181"/>
      <c r="FQF214" s="181"/>
      <c r="FQG214" s="181"/>
      <c r="FQH214" s="181"/>
      <c r="FQI214" s="181"/>
      <c r="FQJ214" s="181"/>
      <c r="FQK214" s="181"/>
      <c r="FQL214" s="181"/>
      <c r="FQM214" s="181"/>
      <c r="FQN214" s="181"/>
      <c r="FQO214" s="181"/>
      <c r="FQP214" s="181"/>
      <c r="FQQ214" s="181"/>
      <c r="FQR214" s="181"/>
      <c r="FQS214" s="181"/>
      <c r="FQT214" s="181"/>
      <c r="FQU214" s="181"/>
      <c r="FQV214" s="181"/>
      <c r="FQW214" s="181"/>
      <c r="FQX214" s="181"/>
      <c r="FQY214" s="181"/>
      <c r="FQZ214" s="181"/>
      <c r="FRA214" s="181"/>
      <c r="FRB214" s="181"/>
      <c r="FRC214" s="181"/>
      <c r="FRD214" s="181"/>
      <c r="FRE214" s="181"/>
      <c r="FRF214" s="181"/>
      <c r="FRG214" s="181"/>
      <c r="FRH214" s="181"/>
      <c r="FRI214" s="181"/>
      <c r="FRJ214" s="181"/>
      <c r="FRK214" s="181"/>
      <c r="FRL214" s="181"/>
      <c r="FRM214" s="181"/>
      <c r="FRN214" s="181"/>
      <c r="FRO214" s="181"/>
      <c r="FRP214" s="181"/>
      <c r="FRQ214" s="181"/>
      <c r="FRR214" s="181"/>
      <c r="FRS214" s="181"/>
      <c r="FRT214" s="181"/>
      <c r="FRU214" s="181"/>
      <c r="FRV214" s="181"/>
      <c r="FRW214" s="181"/>
      <c r="FRX214" s="181"/>
      <c r="FRY214" s="181"/>
      <c r="FRZ214" s="181"/>
      <c r="FSA214" s="181"/>
      <c r="FSB214" s="181"/>
      <c r="FSC214" s="181"/>
      <c r="FSD214" s="181"/>
      <c r="FSE214" s="181"/>
      <c r="FSF214" s="181"/>
      <c r="FSG214" s="181"/>
      <c r="FSH214" s="181"/>
      <c r="FSI214" s="181"/>
      <c r="FSJ214" s="181"/>
      <c r="FSK214" s="181"/>
      <c r="FSL214" s="181"/>
      <c r="FSM214" s="181"/>
      <c r="FSN214" s="181"/>
      <c r="FSO214" s="181"/>
      <c r="FSP214" s="181"/>
      <c r="FSQ214" s="181"/>
      <c r="FSR214" s="181"/>
      <c r="FSS214" s="181"/>
      <c r="FST214" s="181"/>
      <c r="FSU214" s="181"/>
      <c r="FSV214" s="181"/>
      <c r="FSW214" s="181"/>
      <c r="FSX214" s="181"/>
      <c r="FSY214" s="181"/>
      <c r="FSZ214" s="181"/>
      <c r="FTA214" s="181"/>
      <c r="FTB214" s="181"/>
      <c r="FTC214" s="181"/>
      <c r="FTD214" s="181"/>
      <c r="FTE214" s="181"/>
      <c r="FTF214" s="181"/>
      <c r="FTG214" s="181"/>
      <c r="FTH214" s="181"/>
      <c r="FTI214" s="181"/>
      <c r="FTJ214" s="181"/>
      <c r="FTK214" s="181"/>
      <c r="FTL214" s="181"/>
      <c r="FTM214" s="181"/>
      <c r="FTN214" s="181"/>
      <c r="FTO214" s="181"/>
      <c r="FTP214" s="181"/>
      <c r="FTQ214" s="181"/>
      <c r="FTR214" s="181"/>
      <c r="FTS214" s="181"/>
      <c r="FTT214" s="181"/>
      <c r="FTU214" s="181"/>
      <c r="FTV214" s="181"/>
      <c r="FTW214" s="181"/>
      <c r="FTX214" s="181"/>
      <c r="FTY214" s="181"/>
      <c r="FTZ214" s="181"/>
      <c r="FUA214" s="181"/>
      <c r="FUB214" s="181"/>
      <c r="FUC214" s="181"/>
      <c r="FUD214" s="181"/>
      <c r="FUE214" s="181"/>
      <c r="FUF214" s="181"/>
      <c r="FUG214" s="181"/>
      <c r="FUH214" s="181"/>
      <c r="FUI214" s="181"/>
      <c r="FUJ214" s="181"/>
      <c r="FUK214" s="181"/>
      <c r="FUL214" s="181"/>
      <c r="FUM214" s="181"/>
      <c r="FUN214" s="181"/>
      <c r="FUO214" s="181"/>
      <c r="FUP214" s="181"/>
      <c r="FUQ214" s="181"/>
      <c r="FUR214" s="181"/>
      <c r="FUS214" s="181"/>
      <c r="FUT214" s="181"/>
      <c r="FUU214" s="181"/>
      <c r="FUV214" s="181"/>
      <c r="FUW214" s="181"/>
      <c r="FUX214" s="181"/>
      <c r="FUY214" s="181"/>
      <c r="FUZ214" s="181"/>
      <c r="FVA214" s="181"/>
      <c r="FVB214" s="181"/>
      <c r="FVC214" s="181"/>
      <c r="FVD214" s="181"/>
      <c r="FVE214" s="181"/>
      <c r="FVF214" s="181"/>
      <c r="FVG214" s="181"/>
      <c r="FVH214" s="181"/>
      <c r="FVI214" s="181"/>
      <c r="FVJ214" s="181"/>
      <c r="FVK214" s="181"/>
      <c r="FVL214" s="181"/>
      <c r="FVM214" s="181"/>
      <c r="FVN214" s="181"/>
      <c r="FVO214" s="181"/>
      <c r="FVP214" s="181"/>
      <c r="FVQ214" s="181"/>
      <c r="FVR214" s="181"/>
      <c r="FVS214" s="181"/>
      <c r="FVT214" s="181"/>
      <c r="FVU214" s="181"/>
      <c r="FVV214" s="181"/>
      <c r="FVW214" s="181"/>
      <c r="FVX214" s="181"/>
      <c r="FVY214" s="181"/>
      <c r="FVZ214" s="181"/>
      <c r="FWA214" s="181"/>
      <c r="FWB214" s="181"/>
      <c r="FWC214" s="181"/>
      <c r="FWD214" s="181"/>
      <c r="FWE214" s="181"/>
      <c r="FWF214" s="181"/>
      <c r="FWG214" s="181"/>
      <c r="FWH214" s="181"/>
      <c r="FWI214" s="181"/>
      <c r="FWJ214" s="181"/>
      <c r="FWK214" s="181"/>
      <c r="FWL214" s="181"/>
      <c r="FWM214" s="181"/>
      <c r="FWN214" s="181"/>
      <c r="FWO214" s="181"/>
      <c r="FWP214" s="181"/>
      <c r="FWQ214" s="181"/>
      <c r="FWR214" s="181"/>
      <c r="FWS214" s="181"/>
      <c r="FWT214" s="181"/>
      <c r="FWU214" s="181"/>
      <c r="FWV214" s="181"/>
      <c r="FWW214" s="181"/>
      <c r="FWX214" s="181"/>
      <c r="FWY214" s="181"/>
      <c r="FWZ214" s="181"/>
      <c r="FXA214" s="181"/>
      <c r="FXB214" s="181"/>
      <c r="FXC214" s="181"/>
      <c r="FXD214" s="181"/>
      <c r="FXE214" s="181"/>
      <c r="FXF214" s="181"/>
      <c r="FXG214" s="181"/>
      <c r="FXH214" s="181"/>
      <c r="FXI214" s="181"/>
      <c r="FXJ214" s="181"/>
      <c r="FXK214" s="181"/>
      <c r="FXL214" s="181"/>
      <c r="FXM214" s="181"/>
      <c r="FXN214" s="181"/>
      <c r="FXO214" s="181"/>
      <c r="FXP214" s="181"/>
      <c r="FXQ214" s="181"/>
      <c r="FXR214" s="181"/>
      <c r="FXS214" s="181"/>
      <c r="FXT214" s="181"/>
      <c r="FXU214" s="181"/>
      <c r="FXV214" s="181"/>
      <c r="FXW214" s="181"/>
      <c r="FXX214" s="181"/>
      <c r="FXY214" s="181"/>
      <c r="FXZ214" s="181"/>
      <c r="FYA214" s="181"/>
      <c r="FYB214" s="181"/>
      <c r="FYC214" s="181"/>
      <c r="FYD214" s="181"/>
      <c r="FYE214" s="181"/>
      <c r="FYF214" s="181"/>
      <c r="FYG214" s="181"/>
      <c r="FYH214" s="181"/>
      <c r="FYI214" s="181"/>
      <c r="FYJ214" s="181"/>
      <c r="FYK214" s="181"/>
      <c r="FYL214" s="181"/>
      <c r="FYM214" s="181"/>
      <c r="FYN214" s="181"/>
      <c r="FYO214" s="181"/>
      <c r="FYP214" s="181"/>
      <c r="FYQ214" s="181"/>
      <c r="FYR214" s="181"/>
      <c r="FYS214" s="181"/>
      <c r="FYT214" s="181"/>
      <c r="FYU214" s="181"/>
      <c r="FYV214" s="181"/>
      <c r="FYW214" s="181"/>
      <c r="FYX214" s="181"/>
      <c r="FYY214" s="181"/>
      <c r="FYZ214" s="181"/>
      <c r="FZA214" s="181"/>
      <c r="FZB214" s="181"/>
      <c r="FZC214" s="181"/>
      <c r="FZD214" s="181"/>
      <c r="FZE214" s="181"/>
      <c r="FZF214" s="181"/>
      <c r="FZG214" s="181"/>
      <c r="FZH214" s="181"/>
      <c r="FZI214" s="181"/>
      <c r="FZJ214" s="181"/>
      <c r="FZK214" s="181"/>
      <c r="FZL214" s="181"/>
      <c r="FZM214" s="181"/>
      <c r="FZN214" s="181"/>
      <c r="FZO214" s="181"/>
      <c r="FZP214" s="181"/>
      <c r="FZQ214" s="181"/>
      <c r="FZR214" s="181"/>
      <c r="FZS214" s="181"/>
      <c r="FZT214" s="181"/>
      <c r="FZU214" s="181"/>
      <c r="FZV214" s="181"/>
      <c r="FZW214" s="181"/>
      <c r="FZX214" s="181"/>
      <c r="FZY214" s="181"/>
      <c r="FZZ214" s="181"/>
      <c r="GAA214" s="181"/>
      <c r="GAB214" s="181"/>
      <c r="GAC214" s="181"/>
      <c r="GAD214" s="181"/>
      <c r="GAE214" s="181"/>
      <c r="GAF214" s="181"/>
      <c r="GAG214" s="181"/>
      <c r="GAH214" s="181"/>
      <c r="GAI214" s="181"/>
      <c r="GAJ214" s="181"/>
      <c r="GAK214" s="181"/>
      <c r="GAL214" s="181"/>
      <c r="GAM214" s="181"/>
      <c r="GAN214" s="181"/>
      <c r="GAO214" s="181"/>
      <c r="GAP214" s="181"/>
      <c r="GAQ214" s="181"/>
      <c r="GAR214" s="181"/>
      <c r="GAS214" s="181"/>
      <c r="GAT214" s="181"/>
      <c r="GAU214" s="181"/>
      <c r="GAV214" s="181"/>
      <c r="GAW214" s="181"/>
      <c r="GAX214" s="181"/>
      <c r="GAY214" s="181"/>
      <c r="GAZ214" s="181"/>
      <c r="GBA214" s="181"/>
      <c r="GBB214" s="181"/>
      <c r="GBC214" s="181"/>
      <c r="GBD214" s="181"/>
      <c r="GBE214" s="181"/>
      <c r="GBF214" s="181"/>
      <c r="GBG214" s="181"/>
      <c r="GBH214" s="181"/>
      <c r="GBI214" s="181"/>
      <c r="GBJ214" s="181"/>
      <c r="GBK214" s="181"/>
      <c r="GBL214" s="181"/>
      <c r="GBM214" s="181"/>
      <c r="GBN214" s="181"/>
      <c r="GBO214" s="181"/>
      <c r="GBP214" s="181"/>
      <c r="GBQ214" s="181"/>
      <c r="GBR214" s="181"/>
      <c r="GBS214" s="181"/>
      <c r="GBT214" s="181"/>
      <c r="GBU214" s="181"/>
      <c r="GBV214" s="181"/>
      <c r="GBW214" s="181"/>
      <c r="GBX214" s="181"/>
      <c r="GBY214" s="181"/>
      <c r="GBZ214" s="181"/>
      <c r="GCA214" s="181"/>
      <c r="GCB214" s="181"/>
      <c r="GCC214" s="181"/>
      <c r="GCD214" s="181"/>
      <c r="GCE214" s="181"/>
      <c r="GCF214" s="181"/>
      <c r="GCG214" s="181"/>
      <c r="GCH214" s="181"/>
      <c r="GCI214" s="181"/>
      <c r="GCJ214" s="181"/>
      <c r="GCK214" s="181"/>
      <c r="GCL214" s="181"/>
      <c r="GCM214" s="181"/>
      <c r="GCN214" s="181"/>
      <c r="GCO214" s="181"/>
      <c r="GCP214" s="181"/>
      <c r="GCQ214" s="181"/>
      <c r="GCR214" s="181"/>
      <c r="GCS214" s="181"/>
      <c r="GCT214" s="181"/>
      <c r="GCU214" s="181"/>
      <c r="GCV214" s="181"/>
      <c r="GCW214" s="181"/>
      <c r="GCX214" s="181"/>
      <c r="GCY214" s="181"/>
      <c r="GCZ214" s="181"/>
      <c r="GDA214" s="181"/>
      <c r="GDB214" s="181"/>
      <c r="GDC214" s="181"/>
      <c r="GDD214" s="181"/>
      <c r="GDE214" s="181"/>
      <c r="GDF214" s="181"/>
      <c r="GDG214" s="181"/>
      <c r="GDH214" s="181"/>
      <c r="GDI214" s="181"/>
      <c r="GDJ214" s="181"/>
      <c r="GDK214" s="181"/>
      <c r="GDL214" s="181"/>
      <c r="GDM214" s="181"/>
      <c r="GDN214" s="181"/>
      <c r="GDO214" s="181"/>
      <c r="GDP214" s="181"/>
      <c r="GDQ214" s="181"/>
      <c r="GDR214" s="181"/>
      <c r="GDS214" s="181"/>
      <c r="GDT214" s="181"/>
      <c r="GDU214" s="181"/>
      <c r="GDV214" s="181"/>
      <c r="GDW214" s="181"/>
      <c r="GDX214" s="181"/>
      <c r="GDY214" s="181"/>
      <c r="GDZ214" s="181"/>
      <c r="GEA214" s="181"/>
      <c r="GEB214" s="181"/>
      <c r="GEC214" s="181"/>
      <c r="GED214" s="181"/>
      <c r="GEE214" s="181"/>
      <c r="GEF214" s="181"/>
      <c r="GEG214" s="181"/>
      <c r="GEH214" s="181"/>
      <c r="GEI214" s="181"/>
      <c r="GEJ214" s="181"/>
      <c r="GEK214" s="181"/>
      <c r="GEL214" s="181"/>
      <c r="GEM214" s="181"/>
      <c r="GEN214" s="181"/>
      <c r="GEO214" s="181"/>
      <c r="GEP214" s="181"/>
      <c r="GEQ214" s="181"/>
      <c r="GER214" s="181"/>
      <c r="GES214" s="181"/>
      <c r="GET214" s="181"/>
      <c r="GEU214" s="181"/>
      <c r="GEV214" s="181"/>
      <c r="GEW214" s="181"/>
      <c r="GEX214" s="181"/>
      <c r="GEY214" s="181"/>
      <c r="GEZ214" s="181"/>
      <c r="GFA214" s="181"/>
      <c r="GFB214" s="181"/>
      <c r="GFC214" s="181"/>
      <c r="GFD214" s="181"/>
      <c r="GFE214" s="181"/>
      <c r="GFF214" s="181"/>
      <c r="GFG214" s="181"/>
      <c r="GFH214" s="181"/>
      <c r="GFI214" s="181"/>
      <c r="GFJ214" s="181"/>
      <c r="GFK214" s="181"/>
      <c r="GFL214" s="181"/>
      <c r="GFM214" s="181"/>
      <c r="GFN214" s="181"/>
      <c r="GFO214" s="181"/>
      <c r="GFP214" s="181"/>
      <c r="GFQ214" s="181"/>
      <c r="GFR214" s="181"/>
      <c r="GFS214" s="181"/>
      <c r="GFT214" s="181"/>
      <c r="GFU214" s="181"/>
      <c r="GFV214" s="181"/>
      <c r="GFW214" s="181"/>
      <c r="GFX214" s="181"/>
      <c r="GFY214" s="181"/>
      <c r="GFZ214" s="181"/>
      <c r="GGA214" s="181"/>
      <c r="GGB214" s="181"/>
      <c r="GGC214" s="181"/>
      <c r="GGD214" s="181"/>
      <c r="GGE214" s="181"/>
      <c r="GGF214" s="181"/>
      <c r="GGG214" s="181"/>
      <c r="GGH214" s="181"/>
      <c r="GGI214" s="181"/>
      <c r="GGJ214" s="181"/>
      <c r="GGK214" s="181"/>
      <c r="GGL214" s="181"/>
      <c r="GGM214" s="181"/>
      <c r="GGN214" s="181"/>
      <c r="GGO214" s="181"/>
      <c r="GGP214" s="181"/>
      <c r="GGQ214" s="181"/>
      <c r="GGR214" s="181"/>
      <c r="GGS214" s="181"/>
      <c r="GGT214" s="181"/>
      <c r="GGU214" s="181"/>
      <c r="GGV214" s="181"/>
      <c r="GGW214" s="181"/>
      <c r="GGX214" s="181"/>
      <c r="GGY214" s="181"/>
      <c r="GGZ214" s="181"/>
      <c r="GHA214" s="181"/>
      <c r="GHB214" s="181"/>
      <c r="GHC214" s="181"/>
      <c r="GHD214" s="181"/>
      <c r="GHE214" s="181"/>
      <c r="GHF214" s="181"/>
      <c r="GHG214" s="181"/>
      <c r="GHH214" s="181"/>
      <c r="GHI214" s="181"/>
      <c r="GHJ214" s="181"/>
      <c r="GHK214" s="181"/>
      <c r="GHL214" s="181"/>
      <c r="GHM214" s="181"/>
      <c r="GHN214" s="181"/>
      <c r="GHO214" s="181"/>
      <c r="GHP214" s="181"/>
      <c r="GHQ214" s="181"/>
      <c r="GHR214" s="181"/>
      <c r="GHS214" s="181"/>
      <c r="GHT214" s="181"/>
      <c r="GHU214" s="181"/>
      <c r="GHV214" s="181"/>
      <c r="GHW214" s="181"/>
      <c r="GHX214" s="181"/>
      <c r="GHY214" s="181"/>
      <c r="GHZ214" s="181"/>
      <c r="GIA214" s="181"/>
      <c r="GIB214" s="181"/>
      <c r="GIC214" s="181"/>
      <c r="GID214" s="181"/>
      <c r="GIE214" s="181"/>
      <c r="GIF214" s="181"/>
      <c r="GIG214" s="181"/>
      <c r="GIH214" s="181"/>
      <c r="GII214" s="181"/>
      <c r="GIJ214" s="181"/>
      <c r="GIK214" s="181"/>
      <c r="GIL214" s="181"/>
      <c r="GIM214" s="181"/>
      <c r="GIN214" s="181"/>
      <c r="GIO214" s="181"/>
      <c r="GIP214" s="181"/>
      <c r="GIQ214" s="181"/>
      <c r="GIR214" s="181"/>
      <c r="GIS214" s="181"/>
      <c r="GIT214" s="181"/>
      <c r="GIU214" s="181"/>
      <c r="GIV214" s="181"/>
      <c r="GIW214" s="181"/>
      <c r="GIX214" s="181"/>
      <c r="GIY214" s="181"/>
      <c r="GIZ214" s="181"/>
      <c r="GJA214" s="181"/>
      <c r="GJB214" s="181"/>
      <c r="GJC214" s="181"/>
      <c r="GJD214" s="181"/>
      <c r="GJE214" s="181"/>
      <c r="GJF214" s="181"/>
      <c r="GJG214" s="181"/>
      <c r="GJH214" s="181"/>
      <c r="GJI214" s="181"/>
      <c r="GJJ214" s="181"/>
      <c r="GJK214" s="181"/>
      <c r="GJL214" s="181"/>
      <c r="GJM214" s="181"/>
      <c r="GJN214" s="181"/>
      <c r="GJO214" s="181"/>
      <c r="GJP214" s="181"/>
      <c r="GJQ214" s="181"/>
      <c r="GJR214" s="181"/>
      <c r="GJS214" s="181"/>
      <c r="GJT214" s="181"/>
      <c r="GJU214" s="181"/>
      <c r="GJV214" s="181"/>
      <c r="GJW214" s="181"/>
      <c r="GJX214" s="181"/>
      <c r="GJY214" s="181"/>
      <c r="GJZ214" s="181"/>
      <c r="GKA214" s="181"/>
      <c r="GKB214" s="181"/>
      <c r="GKC214" s="181"/>
      <c r="GKD214" s="181"/>
      <c r="GKE214" s="181"/>
      <c r="GKF214" s="181"/>
      <c r="GKG214" s="181"/>
      <c r="GKH214" s="181"/>
      <c r="GKI214" s="181"/>
      <c r="GKJ214" s="181"/>
      <c r="GKK214" s="181"/>
      <c r="GKL214" s="181"/>
      <c r="GKM214" s="181"/>
      <c r="GKN214" s="181"/>
      <c r="GKO214" s="181"/>
      <c r="GKP214" s="181"/>
      <c r="GKQ214" s="181"/>
      <c r="GKR214" s="181"/>
      <c r="GKS214" s="181"/>
      <c r="GKT214" s="181"/>
      <c r="GKU214" s="181"/>
      <c r="GKV214" s="181"/>
      <c r="GKW214" s="181"/>
      <c r="GKX214" s="181"/>
      <c r="GKY214" s="181"/>
      <c r="GKZ214" s="181"/>
      <c r="GLA214" s="181"/>
      <c r="GLB214" s="181"/>
      <c r="GLC214" s="181"/>
      <c r="GLD214" s="181"/>
      <c r="GLE214" s="181"/>
      <c r="GLF214" s="181"/>
      <c r="GLG214" s="181"/>
      <c r="GLH214" s="181"/>
      <c r="GLI214" s="181"/>
      <c r="GLJ214" s="181"/>
      <c r="GLK214" s="181"/>
      <c r="GLL214" s="181"/>
      <c r="GLM214" s="181"/>
      <c r="GLN214" s="181"/>
      <c r="GLO214" s="181"/>
      <c r="GLP214" s="181"/>
      <c r="GLQ214" s="181"/>
      <c r="GLR214" s="181"/>
      <c r="GLS214" s="181"/>
      <c r="GLT214" s="181"/>
      <c r="GLU214" s="181"/>
      <c r="GLV214" s="181"/>
      <c r="GLW214" s="181"/>
      <c r="GLX214" s="181"/>
      <c r="GLY214" s="181"/>
      <c r="GLZ214" s="181"/>
      <c r="GMA214" s="181"/>
      <c r="GMB214" s="181"/>
      <c r="GMC214" s="181"/>
      <c r="GMD214" s="181"/>
      <c r="GME214" s="181"/>
      <c r="GMF214" s="181"/>
      <c r="GMG214" s="181"/>
      <c r="GMH214" s="181"/>
      <c r="GMI214" s="181"/>
      <c r="GMJ214" s="181"/>
      <c r="GMK214" s="181"/>
      <c r="GML214" s="181"/>
      <c r="GMM214" s="181"/>
      <c r="GMN214" s="181"/>
      <c r="GMO214" s="181"/>
      <c r="GMP214" s="181"/>
      <c r="GMQ214" s="181"/>
      <c r="GMR214" s="181"/>
      <c r="GMS214" s="181"/>
      <c r="GMT214" s="181"/>
      <c r="GMU214" s="181"/>
      <c r="GMV214" s="181"/>
      <c r="GMW214" s="181"/>
      <c r="GMX214" s="181"/>
      <c r="GMY214" s="181"/>
      <c r="GMZ214" s="181"/>
      <c r="GNA214" s="181"/>
      <c r="GNB214" s="181"/>
      <c r="GNC214" s="181"/>
      <c r="GND214" s="181"/>
      <c r="GNE214" s="181"/>
      <c r="GNF214" s="181"/>
      <c r="GNG214" s="181"/>
      <c r="GNH214" s="181"/>
      <c r="GNI214" s="181"/>
      <c r="GNJ214" s="181"/>
      <c r="GNK214" s="181"/>
      <c r="GNL214" s="181"/>
      <c r="GNM214" s="181"/>
      <c r="GNN214" s="181"/>
      <c r="GNO214" s="181"/>
      <c r="GNP214" s="181"/>
      <c r="GNQ214" s="181"/>
      <c r="GNR214" s="181"/>
      <c r="GNS214" s="181"/>
      <c r="GNT214" s="181"/>
      <c r="GNU214" s="181"/>
      <c r="GNV214" s="181"/>
      <c r="GNW214" s="181"/>
      <c r="GNX214" s="181"/>
      <c r="GNY214" s="181"/>
      <c r="GNZ214" s="181"/>
      <c r="GOA214" s="181"/>
      <c r="GOB214" s="181"/>
      <c r="GOC214" s="181"/>
      <c r="GOD214" s="181"/>
      <c r="GOE214" s="181"/>
      <c r="GOF214" s="181"/>
      <c r="GOG214" s="181"/>
      <c r="GOH214" s="181"/>
      <c r="GOI214" s="181"/>
      <c r="GOJ214" s="181"/>
      <c r="GOK214" s="181"/>
      <c r="GOL214" s="181"/>
      <c r="GOM214" s="181"/>
      <c r="GON214" s="181"/>
      <c r="GOO214" s="181"/>
      <c r="GOP214" s="181"/>
      <c r="GOQ214" s="181"/>
      <c r="GOR214" s="181"/>
      <c r="GOS214" s="181"/>
      <c r="GOT214" s="181"/>
      <c r="GOU214" s="181"/>
      <c r="GOV214" s="181"/>
      <c r="GOW214" s="181"/>
      <c r="GOX214" s="181"/>
      <c r="GOY214" s="181"/>
      <c r="GOZ214" s="181"/>
      <c r="GPA214" s="181"/>
      <c r="GPB214" s="181"/>
      <c r="GPC214" s="181"/>
      <c r="GPD214" s="181"/>
      <c r="GPE214" s="181"/>
      <c r="GPF214" s="181"/>
      <c r="GPG214" s="181"/>
      <c r="GPH214" s="181"/>
      <c r="GPI214" s="181"/>
      <c r="GPJ214" s="181"/>
      <c r="GPK214" s="181"/>
      <c r="GPL214" s="181"/>
      <c r="GPM214" s="181"/>
      <c r="GPN214" s="181"/>
      <c r="GPO214" s="181"/>
      <c r="GPP214" s="181"/>
      <c r="GPQ214" s="181"/>
      <c r="GPR214" s="181"/>
      <c r="GPS214" s="181"/>
      <c r="GPT214" s="181"/>
      <c r="GPU214" s="181"/>
      <c r="GPV214" s="181"/>
      <c r="GPW214" s="181"/>
      <c r="GPX214" s="181"/>
      <c r="GPY214" s="181"/>
      <c r="GPZ214" s="181"/>
      <c r="GQA214" s="181"/>
      <c r="GQB214" s="181"/>
      <c r="GQC214" s="181"/>
      <c r="GQD214" s="181"/>
      <c r="GQE214" s="181"/>
      <c r="GQF214" s="181"/>
      <c r="GQG214" s="181"/>
      <c r="GQH214" s="181"/>
      <c r="GQI214" s="181"/>
      <c r="GQJ214" s="181"/>
      <c r="GQK214" s="181"/>
      <c r="GQL214" s="181"/>
      <c r="GQM214" s="181"/>
      <c r="GQN214" s="181"/>
      <c r="GQO214" s="181"/>
      <c r="GQP214" s="181"/>
      <c r="GQQ214" s="181"/>
      <c r="GQR214" s="181"/>
      <c r="GQS214" s="181"/>
      <c r="GQT214" s="181"/>
      <c r="GQU214" s="181"/>
      <c r="GQV214" s="181"/>
      <c r="GQW214" s="181"/>
      <c r="GQX214" s="181"/>
      <c r="GQY214" s="181"/>
      <c r="GQZ214" s="181"/>
      <c r="GRA214" s="181"/>
      <c r="GRB214" s="181"/>
      <c r="GRC214" s="181"/>
      <c r="GRD214" s="181"/>
      <c r="GRE214" s="181"/>
      <c r="GRF214" s="181"/>
      <c r="GRG214" s="181"/>
      <c r="GRH214" s="181"/>
      <c r="GRI214" s="181"/>
      <c r="GRJ214" s="181"/>
      <c r="GRK214" s="181"/>
      <c r="GRL214" s="181"/>
      <c r="GRM214" s="181"/>
      <c r="GRN214" s="181"/>
      <c r="GRO214" s="181"/>
      <c r="GRP214" s="181"/>
      <c r="GRQ214" s="181"/>
      <c r="GRR214" s="181"/>
      <c r="GRS214" s="181"/>
      <c r="GRT214" s="181"/>
      <c r="GRU214" s="181"/>
      <c r="GRV214" s="181"/>
      <c r="GRW214" s="181"/>
      <c r="GRX214" s="181"/>
      <c r="GRY214" s="181"/>
      <c r="GRZ214" s="181"/>
      <c r="GSA214" s="181"/>
      <c r="GSB214" s="181"/>
      <c r="GSC214" s="181"/>
      <c r="GSD214" s="181"/>
      <c r="GSE214" s="181"/>
      <c r="GSF214" s="181"/>
      <c r="GSG214" s="181"/>
      <c r="GSH214" s="181"/>
      <c r="GSI214" s="181"/>
      <c r="GSJ214" s="181"/>
      <c r="GSK214" s="181"/>
      <c r="GSL214" s="181"/>
      <c r="GSM214" s="181"/>
      <c r="GSN214" s="181"/>
      <c r="GSO214" s="181"/>
      <c r="GSP214" s="181"/>
      <c r="GSQ214" s="181"/>
      <c r="GSR214" s="181"/>
      <c r="GSS214" s="181"/>
      <c r="GST214" s="181"/>
      <c r="GSU214" s="181"/>
      <c r="GSV214" s="181"/>
      <c r="GSW214" s="181"/>
      <c r="GSX214" s="181"/>
      <c r="GSY214" s="181"/>
      <c r="GSZ214" s="181"/>
      <c r="GTA214" s="181"/>
      <c r="GTB214" s="181"/>
      <c r="GTC214" s="181"/>
      <c r="GTD214" s="181"/>
      <c r="GTE214" s="181"/>
      <c r="GTF214" s="181"/>
      <c r="GTG214" s="181"/>
      <c r="GTH214" s="181"/>
      <c r="GTI214" s="181"/>
      <c r="GTJ214" s="181"/>
      <c r="GTK214" s="181"/>
      <c r="GTL214" s="181"/>
      <c r="GTM214" s="181"/>
      <c r="GTN214" s="181"/>
      <c r="GTO214" s="181"/>
      <c r="GTP214" s="181"/>
      <c r="GTQ214" s="181"/>
      <c r="GTR214" s="181"/>
      <c r="GTS214" s="181"/>
      <c r="GTT214" s="181"/>
      <c r="GTU214" s="181"/>
      <c r="GTV214" s="181"/>
      <c r="GTW214" s="181"/>
      <c r="GTX214" s="181"/>
      <c r="GTY214" s="181"/>
      <c r="GTZ214" s="181"/>
      <c r="GUA214" s="181"/>
      <c r="GUB214" s="181"/>
      <c r="GUC214" s="181"/>
      <c r="GUD214" s="181"/>
      <c r="GUE214" s="181"/>
      <c r="GUF214" s="181"/>
      <c r="GUG214" s="181"/>
      <c r="GUH214" s="181"/>
      <c r="GUI214" s="181"/>
      <c r="GUJ214" s="181"/>
      <c r="GUK214" s="181"/>
      <c r="GUL214" s="181"/>
      <c r="GUM214" s="181"/>
      <c r="GUN214" s="181"/>
      <c r="GUO214" s="181"/>
      <c r="GUP214" s="181"/>
      <c r="GUQ214" s="181"/>
      <c r="GUR214" s="181"/>
      <c r="GUS214" s="181"/>
      <c r="GUT214" s="181"/>
      <c r="GUU214" s="181"/>
      <c r="GUV214" s="181"/>
      <c r="GUW214" s="181"/>
      <c r="GUX214" s="181"/>
      <c r="GUY214" s="181"/>
      <c r="GUZ214" s="181"/>
      <c r="GVA214" s="181"/>
      <c r="GVB214" s="181"/>
      <c r="GVC214" s="181"/>
      <c r="GVD214" s="181"/>
      <c r="GVE214" s="181"/>
      <c r="GVF214" s="181"/>
      <c r="GVG214" s="181"/>
      <c r="GVH214" s="181"/>
      <c r="GVI214" s="181"/>
      <c r="GVJ214" s="181"/>
      <c r="GVK214" s="181"/>
      <c r="GVL214" s="181"/>
      <c r="GVM214" s="181"/>
      <c r="GVN214" s="181"/>
      <c r="GVO214" s="181"/>
      <c r="GVP214" s="181"/>
      <c r="GVQ214" s="181"/>
      <c r="GVR214" s="181"/>
      <c r="GVS214" s="181"/>
      <c r="GVT214" s="181"/>
      <c r="GVU214" s="181"/>
      <c r="GVV214" s="181"/>
      <c r="GVW214" s="181"/>
      <c r="GVX214" s="181"/>
      <c r="GVY214" s="181"/>
      <c r="GVZ214" s="181"/>
      <c r="GWA214" s="181"/>
      <c r="GWB214" s="181"/>
      <c r="GWC214" s="181"/>
      <c r="GWD214" s="181"/>
      <c r="GWE214" s="181"/>
      <c r="GWF214" s="181"/>
      <c r="GWG214" s="181"/>
      <c r="GWH214" s="181"/>
      <c r="GWI214" s="181"/>
      <c r="GWJ214" s="181"/>
      <c r="GWK214" s="181"/>
      <c r="GWL214" s="181"/>
      <c r="GWM214" s="181"/>
      <c r="GWN214" s="181"/>
      <c r="GWO214" s="181"/>
      <c r="GWP214" s="181"/>
      <c r="GWQ214" s="181"/>
      <c r="GWR214" s="181"/>
      <c r="GWS214" s="181"/>
      <c r="GWT214" s="181"/>
      <c r="GWU214" s="181"/>
      <c r="GWV214" s="181"/>
      <c r="GWW214" s="181"/>
      <c r="GWX214" s="181"/>
      <c r="GWY214" s="181"/>
      <c r="GWZ214" s="181"/>
      <c r="GXA214" s="181"/>
      <c r="GXB214" s="181"/>
      <c r="GXC214" s="181"/>
      <c r="GXD214" s="181"/>
      <c r="GXE214" s="181"/>
      <c r="GXF214" s="181"/>
      <c r="GXG214" s="181"/>
      <c r="GXH214" s="181"/>
      <c r="GXI214" s="181"/>
      <c r="GXJ214" s="181"/>
      <c r="GXK214" s="181"/>
      <c r="GXL214" s="181"/>
      <c r="GXM214" s="181"/>
      <c r="GXN214" s="181"/>
      <c r="GXO214" s="181"/>
      <c r="GXP214" s="181"/>
      <c r="GXQ214" s="181"/>
      <c r="GXR214" s="181"/>
      <c r="GXS214" s="181"/>
      <c r="GXT214" s="181"/>
      <c r="GXU214" s="181"/>
      <c r="GXV214" s="181"/>
      <c r="GXW214" s="181"/>
      <c r="GXX214" s="181"/>
      <c r="GXY214" s="181"/>
      <c r="GXZ214" s="181"/>
      <c r="GYA214" s="181"/>
      <c r="GYB214" s="181"/>
      <c r="GYC214" s="181"/>
      <c r="GYD214" s="181"/>
      <c r="GYE214" s="181"/>
      <c r="GYF214" s="181"/>
      <c r="GYG214" s="181"/>
      <c r="GYH214" s="181"/>
      <c r="GYI214" s="181"/>
      <c r="GYJ214" s="181"/>
      <c r="GYK214" s="181"/>
      <c r="GYL214" s="181"/>
      <c r="GYM214" s="181"/>
      <c r="GYN214" s="181"/>
      <c r="GYO214" s="181"/>
      <c r="GYP214" s="181"/>
      <c r="GYQ214" s="181"/>
      <c r="GYR214" s="181"/>
      <c r="GYS214" s="181"/>
      <c r="GYT214" s="181"/>
      <c r="GYU214" s="181"/>
      <c r="GYV214" s="181"/>
      <c r="GYW214" s="181"/>
      <c r="GYX214" s="181"/>
      <c r="GYY214" s="181"/>
      <c r="GYZ214" s="181"/>
      <c r="GZA214" s="181"/>
      <c r="GZB214" s="181"/>
      <c r="GZC214" s="181"/>
      <c r="GZD214" s="181"/>
      <c r="GZE214" s="181"/>
      <c r="GZF214" s="181"/>
      <c r="GZG214" s="181"/>
      <c r="GZH214" s="181"/>
      <c r="GZI214" s="181"/>
      <c r="GZJ214" s="181"/>
      <c r="GZK214" s="181"/>
      <c r="GZL214" s="181"/>
      <c r="GZM214" s="181"/>
      <c r="GZN214" s="181"/>
      <c r="GZO214" s="181"/>
      <c r="GZP214" s="181"/>
      <c r="GZQ214" s="181"/>
      <c r="GZR214" s="181"/>
      <c r="GZS214" s="181"/>
      <c r="GZT214" s="181"/>
      <c r="GZU214" s="181"/>
      <c r="GZV214" s="181"/>
      <c r="GZW214" s="181"/>
      <c r="GZX214" s="181"/>
      <c r="GZY214" s="181"/>
      <c r="GZZ214" s="181"/>
      <c r="HAA214" s="181"/>
      <c r="HAB214" s="181"/>
      <c r="HAC214" s="181"/>
      <c r="HAD214" s="181"/>
      <c r="HAE214" s="181"/>
      <c r="HAF214" s="181"/>
      <c r="HAG214" s="181"/>
      <c r="HAH214" s="181"/>
      <c r="HAI214" s="181"/>
      <c r="HAJ214" s="181"/>
      <c r="HAK214" s="181"/>
      <c r="HAL214" s="181"/>
      <c r="HAM214" s="181"/>
      <c r="HAN214" s="181"/>
      <c r="HAO214" s="181"/>
      <c r="HAP214" s="181"/>
      <c r="HAQ214" s="181"/>
      <c r="HAR214" s="181"/>
      <c r="HAS214" s="181"/>
      <c r="HAT214" s="181"/>
      <c r="HAU214" s="181"/>
      <c r="HAV214" s="181"/>
      <c r="HAW214" s="181"/>
      <c r="HAX214" s="181"/>
      <c r="HAY214" s="181"/>
      <c r="HAZ214" s="181"/>
      <c r="HBA214" s="181"/>
      <c r="HBB214" s="181"/>
      <c r="HBC214" s="181"/>
      <c r="HBD214" s="181"/>
      <c r="HBE214" s="181"/>
      <c r="HBF214" s="181"/>
      <c r="HBG214" s="181"/>
      <c r="HBH214" s="181"/>
      <c r="HBI214" s="181"/>
      <c r="HBJ214" s="181"/>
      <c r="HBK214" s="181"/>
      <c r="HBL214" s="181"/>
      <c r="HBM214" s="181"/>
      <c r="HBN214" s="181"/>
      <c r="HBO214" s="181"/>
      <c r="HBP214" s="181"/>
      <c r="HBQ214" s="181"/>
      <c r="HBR214" s="181"/>
      <c r="HBS214" s="181"/>
      <c r="HBT214" s="181"/>
      <c r="HBU214" s="181"/>
      <c r="HBV214" s="181"/>
      <c r="HBW214" s="181"/>
      <c r="HBX214" s="181"/>
      <c r="HBY214" s="181"/>
      <c r="HBZ214" s="181"/>
      <c r="HCA214" s="181"/>
      <c r="HCB214" s="181"/>
      <c r="HCC214" s="181"/>
      <c r="HCD214" s="181"/>
      <c r="HCE214" s="181"/>
      <c r="HCF214" s="181"/>
      <c r="HCG214" s="181"/>
      <c r="HCH214" s="181"/>
      <c r="HCI214" s="181"/>
      <c r="HCJ214" s="181"/>
      <c r="HCK214" s="181"/>
      <c r="HCL214" s="181"/>
      <c r="HCM214" s="181"/>
      <c r="HCN214" s="181"/>
      <c r="HCO214" s="181"/>
      <c r="HCP214" s="181"/>
      <c r="HCQ214" s="181"/>
      <c r="HCR214" s="181"/>
      <c r="HCS214" s="181"/>
      <c r="HCT214" s="181"/>
      <c r="HCU214" s="181"/>
      <c r="HCV214" s="181"/>
      <c r="HCW214" s="181"/>
      <c r="HCX214" s="181"/>
      <c r="HCY214" s="181"/>
      <c r="HCZ214" s="181"/>
      <c r="HDA214" s="181"/>
      <c r="HDB214" s="181"/>
      <c r="HDC214" s="181"/>
      <c r="HDD214" s="181"/>
      <c r="HDE214" s="181"/>
      <c r="HDF214" s="181"/>
      <c r="HDG214" s="181"/>
      <c r="HDH214" s="181"/>
      <c r="HDI214" s="181"/>
      <c r="HDJ214" s="181"/>
      <c r="HDK214" s="181"/>
      <c r="HDL214" s="181"/>
      <c r="HDM214" s="181"/>
      <c r="HDN214" s="181"/>
      <c r="HDO214" s="181"/>
      <c r="HDP214" s="181"/>
      <c r="HDQ214" s="181"/>
      <c r="HDR214" s="181"/>
      <c r="HDS214" s="181"/>
      <c r="HDT214" s="181"/>
      <c r="HDU214" s="181"/>
      <c r="HDV214" s="181"/>
      <c r="HDW214" s="181"/>
      <c r="HDX214" s="181"/>
      <c r="HDY214" s="181"/>
      <c r="HDZ214" s="181"/>
      <c r="HEA214" s="181"/>
      <c r="HEB214" s="181"/>
      <c r="HEC214" s="181"/>
      <c r="HED214" s="181"/>
      <c r="HEE214" s="181"/>
      <c r="HEF214" s="181"/>
      <c r="HEG214" s="181"/>
      <c r="HEH214" s="181"/>
      <c r="HEI214" s="181"/>
      <c r="HEJ214" s="181"/>
      <c r="HEK214" s="181"/>
      <c r="HEL214" s="181"/>
      <c r="HEM214" s="181"/>
      <c r="HEN214" s="181"/>
      <c r="HEO214" s="181"/>
      <c r="HEP214" s="181"/>
      <c r="HEQ214" s="181"/>
      <c r="HER214" s="181"/>
      <c r="HES214" s="181"/>
      <c r="HET214" s="181"/>
      <c r="HEU214" s="181"/>
      <c r="HEV214" s="181"/>
      <c r="HEW214" s="181"/>
      <c r="HEX214" s="181"/>
      <c r="HEY214" s="181"/>
      <c r="HEZ214" s="181"/>
      <c r="HFA214" s="181"/>
      <c r="HFB214" s="181"/>
      <c r="HFC214" s="181"/>
      <c r="HFD214" s="181"/>
      <c r="HFE214" s="181"/>
      <c r="HFF214" s="181"/>
      <c r="HFG214" s="181"/>
      <c r="HFH214" s="181"/>
      <c r="HFI214" s="181"/>
      <c r="HFJ214" s="181"/>
      <c r="HFK214" s="181"/>
      <c r="HFL214" s="181"/>
      <c r="HFM214" s="181"/>
      <c r="HFN214" s="181"/>
      <c r="HFO214" s="181"/>
      <c r="HFP214" s="181"/>
      <c r="HFQ214" s="181"/>
      <c r="HFR214" s="181"/>
      <c r="HFS214" s="181"/>
      <c r="HFT214" s="181"/>
      <c r="HFU214" s="181"/>
      <c r="HFV214" s="181"/>
      <c r="HFW214" s="181"/>
      <c r="HFX214" s="181"/>
      <c r="HFY214" s="181"/>
      <c r="HFZ214" s="181"/>
      <c r="HGA214" s="181"/>
      <c r="HGB214" s="181"/>
      <c r="HGC214" s="181"/>
      <c r="HGD214" s="181"/>
      <c r="HGE214" s="181"/>
      <c r="HGF214" s="181"/>
      <c r="HGG214" s="181"/>
      <c r="HGH214" s="181"/>
      <c r="HGI214" s="181"/>
      <c r="HGJ214" s="181"/>
      <c r="HGK214" s="181"/>
      <c r="HGL214" s="181"/>
      <c r="HGM214" s="181"/>
      <c r="HGN214" s="181"/>
      <c r="HGO214" s="181"/>
      <c r="HGP214" s="181"/>
      <c r="HGQ214" s="181"/>
      <c r="HGR214" s="181"/>
      <c r="HGS214" s="181"/>
      <c r="HGT214" s="181"/>
      <c r="HGU214" s="181"/>
      <c r="HGV214" s="181"/>
      <c r="HGW214" s="181"/>
      <c r="HGX214" s="181"/>
      <c r="HGY214" s="181"/>
      <c r="HGZ214" s="181"/>
      <c r="HHA214" s="181"/>
      <c r="HHB214" s="181"/>
      <c r="HHC214" s="181"/>
      <c r="HHD214" s="181"/>
      <c r="HHE214" s="181"/>
      <c r="HHF214" s="181"/>
      <c r="HHG214" s="181"/>
      <c r="HHH214" s="181"/>
      <c r="HHI214" s="181"/>
      <c r="HHJ214" s="181"/>
      <c r="HHK214" s="181"/>
      <c r="HHL214" s="181"/>
      <c r="HHM214" s="181"/>
      <c r="HHN214" s="181"/>
      <c r="HHO214" s="181"/>
      <c r="HHP214" s="181"/>
      <c r="HHQ214" s="181"/>
      <c r="HHR214" s="181"/>
      <c r="HHS214" s="181"/>
      <c r="HHT214" s="181"/>
      <c r="HHU214" s="181"/>
      <c r="HHV214" s="181"/>
      <c r="HHW214" s="181"/>
      <c r="HHX214" s="181"/>
      <c r="HHY214" s="181"/>
      <c r="HHZ214" s="181"/>
      <c r="HIA214" s="181"/>
      <c r="HIB214" s="181"/>
      <c r="HIC214" s="181"/>
      <c r="HID214" s="181"/>
      <c r="HIE214" s="181"/>
      <c r="HIF214" s="181"/>
      <c r="HIG214" s="181"/>
      <c r="HIH214" s="181"/>
      <c r="HII214" s="181"/>
      <c r="HIJ214" s="181"/>
      <c r="HIK214" s="181"/>
      <c r="HIL214" s="181"/>
      <c r="HIM214" s="181"/>
      <c r="HIN214" s="181"/>
      <c r="HIO214" s="181"/>
      <c r="HIP214" s="181"/>
      <c r="HIQ214" s="181"/>
      <c r="HIR214" s="181"/>
      <c r="HIS214" s="181"/>
      <c r="HIT214" s="181"/>
      <c r="HIU214" s="181"/>
      <c r="HIV214" s="181"/>
      <c r="HIW214" s="181"/>
      <c r="HIX214" s="181"/>
      <c r="HIY214" s="181"/>
      <c r="HIZ214" s="181"/>
      <c r="HJA214" s="181"/>
      <c r="HJB214" s="181"/>
      <c r="HJC214" s="181"/>
      <c r="HJD214" s="181"/>
      <c r="HJE214" s="181"/>
      <c r="HJF214" s="181"/>
      <c r="HJG214" s="181"/>
      <c r="HJH214" s="181"/>
      <c r="HJI214" s="181"/>
      <c r="HJJ214" s="181"/>
      <c r="HJK214" s="181"/>
      <c r="HJL214" s="181"/>
      <c r="HJM214" s="181"/>
      <c r="HJN214" s="181"/>
      <c r="HJO214" s="181"/>
      <c r="HJP214" s="181"/>
      <c r="HJQ214" s="181"/>
      <c r="HJR214" s="181"/>
      <c r="HJS214" s="181"/>
      <c r="HJT214" s="181"/>
      <c r="HJU214" s="181"/>
      <c r="HJV214" s="181"/>
      <c r="HJW214" s="181"/>
      <c r="HJX214" s="181"/>
      <c r="HJY214" s="181"/>
      <c r="HJZ214" s="181"/>
      <c r="HKA214" s="181"/>
      <c r="HKB214" s="181"/>
      <c r="HKC214" s="181"/>
      <c r="HKD214" s="181"/>
      <c r="HKE214" s="181"/>
      <c r="HKF214" s="181"/>
      <c r="HKG214" s="181"/>
      <c r="HKH214" s="181"/>
      <c r="HKI214" s="181"/>
      <c r="HKJ214" s="181"/>
      <c r="HKK214" s="181"/>
      <c r="HKL214" s="181"/>
      <c r="HKM214" s="181"/>
      <c r="HKN214" s="181"/>
      <c r="HKO214" s="181"/>
      <c r="HKP214" s="181"/>
      <c r="HKQ214" s="181"/>
      <c r="HKR214" s="181"/>
      <c r="HKS214" s="181"/>
      <c r="HKT214" s="181"/>
      <c r="HKU214" s="181"/>
      <c r="HKV214" s="181"/>
      <c r="HKW214" s="181"/>
      <c r="HKX214" s="181"/>
      <c r="HKY214" s="181"/>
      <c r="HKZ214" s="181"/>
      <c r="HLA214" s="181"/>
      <c r="HLB214" s="181"/>
      <c r="HLC214" s="181"/>
      <c r="HLD214" s="181"/>
      <c r="HLE214" s="181"/>
      <c r="HLF214" s="181"/>
      <c r="HLG214" s="181"/>
      <c r="HLH214" s="181"/>
      <c r="HLI214" s="181"/>
      <c r="HLJ214" s="181"/>
      <c r="HLK214" s="181"/>
      <c r="HLL214" s="181"/>
      <c r="HLM214" s="181"/>
      <c r="HLN214" s="181"/>
      <c r="HLO214" s="181"/>
      <c r="HLP214" s="181"/>
      <c r="HLQ214" s="181"/>
      <c r="HLR214" s="181"/>
      <c r="HLS214" s="181"/>
      <c r="HLT214" s="181"/>
      <c r="HLU214" s="181"/>
      <c r="HLV214" s="181"/>
      <c r="HLW214" s="181"/>
      <c r="HLX214" s="181"/>
      <c r="HLY214" s="181"/>
      <c r="HLZ214" s="181"/>
      <c r="HMA214" s="181"/>
      <c r="HMB214" s="181"/>
      <c r="HMC214" s="181"/>
      <c r="HMD214" s="181"/>
      <c r="HME214" s="181"/>
      <c r="HMF214" s="181"/>
      <c r="HMG214" s="181"/>
      <c r="HMH214" s="181"/>
      <c r="HMI214" s="181"/>
      <c r="HMJ214" s="181"/>
      <c r="HMK214" s="181"/>
      <c r="HML214" s="181"/>
      <c r="HMM214" s="181"/>
      <c r="HMN214" s="181"/>
      <c r="HMO214" s="181"/>
      <c r="HMP214" s="181"/>
      <c r="HMQ214" s="181"/>
      <c r="HMR214" s="181"/>
      <c r="HMS214" s="181"/>
      <c r="HMT214" s="181"/>
      <c r="HMU214" s="181"/>
      <c r="HMV214" s="181"/>
      <c r="HMW214" s="181"/>
      <c r="HMX214" s="181"/>
      <c r="HMY214" s="181"/>
      <c r="HMZ214" s="181"/>
      <c r="HNA214" s="181"/>
      <c r="HNB214" s="181"/>
      <c r="HNC214" s="181"/>
      <c r="HND214" s="181"/>
      <c r="HNE214" s="181"/>
      <c r="HNF214" s="181"/>
      <c r="HNG214" s="181"/>
      <c r="HNH214" s="181"/>
      <c r="HNI214" s="181"/>
      <c r="HNJ214" s="181"/>
      <c r="HNK214" s="181"/>
      <c r="HNL214" s="181"/>
      <c r="HNM214" s="181"/>
      <c r="HNN214" s="181"/>
      <c r="HNO214" s="181"/>
      <c r="HNP214" s="181"/>
      <c r="HNQ214" s="181"/>
      <c r="HNR214" s="181"/>
      <c r="HNS214" s="181"/>
      <c r="HNT214" s="181"/>
      <c r="HNU214" s="181"/>
      <c r="HNV214" s="181"/>
      <c r="HNW214" s="181"/>
      <c r="HNX214" s="181"/>
      <c r="HNY214" s="181"/>
      <c r="HNZ214" s="181"/>
      <c r="HOA214" s="181"/>
      <c r="HOB214" s="181"/>
      <c r="HOC214" s="181"/>
      <c r="HOD214" s="181"/>
      <c r="HOE214" s="181"/>
      <c r="HOF214" s="181"/>
      <c r="HOG214" s="181"/>
      <c r="HOH214" s="181"/>
      <c r="HOI214" s="181"/>
      <c r="HOJ214" s="181"/>
      <c r="HOK214" s="181"/>
      <c r="HOL214" s="181"/>
      <c r="HOM214" s="181"/>
      <c r="HON214" s="181"/>
      <c r="HOO214" s="181"/>
      <c r="HOP214" s="181"/>
      <c r="HOQ214" s="181"/>
      <c r="HOR214" s="181"/>
      <c r="HOS214" s="181"/>
      <c r="HOT214" s="181"/>
      <c r="HOU214" s="181"/>
      <c r="HOV214" s="181"/>
      <c r="HOW214" s="181"/>
      <c r="HOX214" s="181"/>
      <c r="HOY214" s="181"/>
      <c r="HOZ214" s="181"/>
      <c r="HPA214" s="181"/>
      <c r="HPB214" s="181"/>
      <c r="HPC214" s="181"/>
      <c r="HPD214" s="181"/>
      <c r="HPE214" s="181"/>
      <c r="HPF214" s="181"/>
      <c r="HPG214" s="181"/>
      <c r="HPH214" s="181"/>
      <c r="HPI214" s="181"/>
      <c r="HPJ214" s="181"/>
      <c r="HPK214" s="181"/>
      <c r="HPL214" s="181"/>
      <c r="HPM214" s="181"/>
      <c r="HPN214" s="181"/>
      <c r="HPO214" s="181"/>
      <c r="HPP214" s="181"/>
      <c r="HPQ214" s="181"/>
      <c r="HPR214" s="181"/>
      <c r="HPS214" s="181"/>
      <c r="HPT214" s="181"/>
      <c r="HPU214" s="181"/>
      <c r="HPV214" s="181"/>
      <c r="HPW214" s="181"/>
      <c r="HPX214" s="181"/>
      <c r="HPY214" s="181"/>
      <c r="HPZ214" s="181"/>
      <c r="HQA214" s="181"/>
      <c r="HQB214" s="181"/>
      <c r="HQC214" s="181"/>
      <c r="HQD214" s="181"/>
      <c r="HQE214" s="181"/>
      <c r="HQF214" s="181"/>
      <c r="HQG214" s="181"/>
      <c r="HQH214" s="181"/>
      <c r="HQI214" s="181"/>
      <c r="HQJ214" s="181"/>
      <c r="HQK214" s="181"/>
      <c r="HQL214" s="181"/>
      <c r="HQM214" s="181"/>
      <c r="HQN214" s="181"/>
      <c r="HQO214" s="181"/>
      <c r="HQP214" s="181"/>
      <c r="HQQ214" s="181"/>
      <c r="HQR214" s="181"/>
      <c r="HQS214" s="181"/>
      <c r="HQT214" s="181"/>
      <c r="HQU214" s="181"/>
      <c r="HQV214" s="181"/>
      <c r="HQW214" s="181"/>
      <c r="HQX214" s="181"/>
      <c r="HQY214" s="181"/>
      <c r="HQZ214" s="181"/>
      <c r="HRA214" s="181"/>
      <c r="HRB214" s="181"/>
      <c r="HRC214" s="181"/>
      <c r="HRD214" s="181"/>
      <c r="HRE214" s="181"/>
      <c r="HRF214" s="181"/>
      <c r="HRG214" s="181"/>
      <c r="HRH214" s="181"/>
      <c r="HRI214" s="181"/>
      <c r="HRJ214" s="181"/>
      <c r="HRK214" s="181"/>
      <c r="HRL214" s="181"/>
      <c r="HRM214" s="181"/>
      <c r="HRN214" s="181"/>
      <c r="HRO214" s="181"/>
      <c r="HRP214" s="181"/>
      <c r="HRQ214" s="181"/>
      <c r="HRR214" s="181"/>
      <c r="HRS214" s="181"/>
      <c r="HRT214" s="181"/>
      <c r="HRU214" s="181"/>
      <c r="HRV214" s="181"/>
      <c r="HRW214" s="181"/>
      <c r="HRX214" s="181"/>
      <c r="HRY214" s="181"/>
      <c r="HRZ214" s="181"/>
      <c r="HSA214" s="181"/>
      <c r="HSB214" s="181"/>
      <c r="HSC214" s="181"/>
      <c r="HSD214" s="181"/>
      <c r="HSE214" s="181"/>
      <c r="HSF214" s="181"/>
      <c r="HSG214" s="181"/>
      <c r="HSH214" s="181"/>
      <c r="HSI214" s="181"/>
      <c r="HSJ214" s="181"/>
      <c r="HSK214" s="181"/>
      <c r="HSL214" s="181"/>
      <c r="HSM214" s="181"/>
      <c r="HSN214" s="181"/>
      <c r="HSO214" s="181"/>
      <c r="HSP214" s="181"/>
      <c r="HSQ214" s="181"/>
      <c r="HSR214" s="181"/>
      <c r="HSS214" s="181"/>
      <c r="HST214" s="181"/>
      <c r="HSU214" s="181"/>
      <c r="HSV214" s="181"/>
      <c r="HSW214" s="181"/>
      <c r="HSX214" s="181"/>
      <c r="HSY214" s="181"/>
      <c r="HSZ214" s="181"/>
      <c r="HTA214" s="181"/>
      <c r="HTB214" s="181"/>
      <c r="HTC214" s="181"/>
      <c r="HTD214" s="181"/>
      <c r="HTE214" s="181"/>
      <c r="HTF214" s="181"/>
      <c r="HTG214" s="181"/>
      <c r="HTH214" s="181"/>
      <c r="HTI214" s="181"/>
      <c r="HTJ214" s="181"/>
      <c r="HTK214" s="181"/>
      <c r="HTL214" s="181"/>
      <c r="HTM214" s="181"/>
      <c r="HTN214" s="181"/>
      <c r="HTO214" s="181"/>
      <c r="HTP214" s="181"/>
      <c r="HTQ214" s="181"/>
      <c r="HTR214" s="181"/>
      <c r="HTS214" s="181"/>
      <c r="HTT214" s="181"/>
      <c r="HTU214" s="181"/>
      <c r="HTV214" s="181"/>
      <c r="HTW214" s="181"/>
      <c r="HTX214" s="181"/>
      <c r="HTY214" s="181"/>
      <c r="HTZ214" s="181"/>
      <c r="HUA214" s="181"/>
      <c r="HUB214" s="181"/>
      <c r="HUC214" s="181"/>
      <c r="HUD214" s="181"/>
      <c r="HUE214" s="181"/>
      <c r="HUF214" s="181"/>
      <c r="HUG214" s="181"/>
      <c r="HUH214" s="181"/>
      <c r="HUI214" s="181"/>
      <c r="HUJ214" s="181"/>
      <c r="HUK214" s="181"/>
      <c r="HUL214" s="181"/>
      <c r="HUM214" s="181"/>
      <c r="HUN214" s="181"/>
      <c r="HUO214" s="181"/>
      <c r="HUP214" s="181"/>
      <c r="HUQ214" s="181"/>
      <c r="HUR214" s="181"/>
      <c r="HUS214" s="181"/>
      <c r="HUT214" s="181"/>
      <c r="HUU214" s="181"/>
      <c r="HUV214" s="181"/>
      <c r="HUW214" s="181"/>
      <c r="HUX214" s="181"/>
      <c r="HUY214" s="181"/>
      <c r="HUZ214" s="181"/>
      <c r="HVA214" s="181"/>
      <c r="HVB214" s="181"/>
      <c r="HVC214" s="181"/>
      <c r="HVD214" s="181"/>
      <c r="HVE214" s="181"/>
      <c r="HVF214" s="181"/>
      <c r="HVG214" s="181"/>
      <c r="HVH214" s="181"/>
      <c r="HVI214" s="181"/>
      <c r="HVJ214" s="181"/>
      <c r="HVK214" s="181"/>
      <c r="HVL214" s="181"/>
      <c r="HVM214" s="181"/>
      <c r="HVN214" s="181"/>
      <c r="HVO214" s="181"/>
      <c r="HVP214" s="181"/>
      <c r="HVQ214" s="181"/>
      <c r="HVR214" s="181"/>
      <c r="HVS214" s="181"/>
      <c r="HVT214" s="181"/>
      <c r="HVU214" s="181"/>
      <c r="HVV214" s="181"/>
      <c r="HVW214" s="181"/>
      <c r="HVX214" s="181"/>
      <c r="HVY214" s="181"/>
      <c r="HVZ214" s="181"/>
      <c r="HWA214" s="181"/>
      <c r="HWB214" s="181"/>
      <c r="HWC214" s="181"/>
      <c r="HWD214" s="181"/>
      <c r="HWE214" s="181"/>
      <c r="HWF214" s="181"/>
      <c r="HWG214" s="181"/>
      <c r="HWH214" s="181"/>
      <c r="HWI214" s="181"/>
      <c r="HWJ214" s="181"/>
      <c r="HWK214" s="181"/>
      <c r="HWL214" s="181"/>
      <c r="HWM214" s="181"/>
      <c r="HWN214" s="181"/>
      <c r="HWO214" s="181"/>
      <c r="HWP214" s="181"/>
      <c r="HWQ214" s="181"/>
      <c r="HWR214" s="181"/>
      <c r="HWS214" s="181"/>
      <c r="HWT214" s="181"/>
      <c r="HWU214" s="181"/>
      <c r="HWV214" s="181"/>
      <c r="HWW214" s="181"/>
      <c r="HWX214" s="181"/>
      <c r="HWY214" s="181"/>
      <c r="HWZ214" s="181"/>
      <c r="HXA214" s="181"/>
      <c r="HXB214" s="181"/>
      <c r="HXC214" s="181"/>
      <c r="HXD214" s="181"/>
      <c r="HXE214" s="181"/>
      <c r="HXF214" s="181"/>
      <c r="HXG214" s="181"/>
      <c r="HXH214" s="181"/>
      <c r="HXI214" s="181"/>
      <c r="HXJ214" s="181"/>
      <c r="HXK214" s="181"/>
      <c r="HXL214" s="181"/>
      <c r="HXM214" s="181"/>
      <c r="HXN214" s="181"/>
      <c r="HXO214" s="181"/>
      <c r="HXP214" s="181"/>
      <c r="HXQ214" s="181"/>
      <c r="HXR214" s="181"/>
      <c r="HXS214" s="181"/>
      <c r="HXT214" s="181"/>
      <c r="HXU214" s="181"/>
      <c r="HXV214" s="181"/>
      <c r="HXW214" s="181"/>
      <c r="HXX214" s="181"/>
      <c r="HXY214" s="181"/>
      <c r="HXZ214" s="181"/>
      <c r="HYA214" s="181"/>
      <c r="HYB214" s="181"/>
      <c r="HYC214" s="181"/>
      <c r="HYD214" s="181"/>
      <c r="HYE214" s="181"/>
      <c r="HYF214" s="181"/>
      <c r="HYG214" s="181"/>
      <c r="HYH214" s="181"/>
      <c r="HYI214" s="181"/>
      <c r="HYJ214" s="181"/>
      <c r="HYK214" s="181"/>
      <c r="HYL214" s="181"/>
      <c r="HYM214" s="181"/>
      <c r="HYN214" s="181"/>
      <c r="HYO214" s="181"/>
      <c r="HYP214" s="181"/>
      <c r="HYQ214" s="181"/>
      <c r="HYR214" s="181"/>
      <c r="HYS214" s="181"/>
      <c r="HYT214" s="181"/>
      <c r="HYU214" s="181"/>
      <c r="HYV214" s="181"/>
      <c r="HYW214" s="181"/>
      <c r="HYX214" s="181"/>
      <c r="HYY214" s="181"/>
      <c r="HYZ214" s="181"/>
      <c r="HZA214" s="181"/>
      <c r="HZB214" s="181"/>
      <c r="HZC214" s="181"/>
      <c r="HZD214" s="181"/>
      <c r="HZE214" s="181"/>
      <c r="HZF214" s="181"/>
      <c r="HZG214" s="181"/>
      <c r="HZH214" s="181"/>
      <c r="HZI214" s="181"/>
      <c r="HZJ214" s="181"/>
      <c r="HZK214" s="181"/>
      <c r="HZL214" s="181"/>
      <c r="HZM214" s="181"/>
      <c r="HZN214" s="181"/>
      <c r="HZO214" s="181"/>
      <c r="HZP214" s="181"/>
      <c r="HZQ214" s="181"/>
      <c r="HZR214" s="181"/>
      <c r="HZS214" s="181"/>
      <c r="HZT214" s="181"/>
      <c r="HZU214" s="181"/>
      <c r="HZV214" s="181"/>
      <c r="HZW214" s="181"/>
      <c r="HZX214" s="181"/>
      <c r="HZY214" s="181"/>
      <c r="HZZ214" s="181"/>
      <c r="IAA214" s="181"/>
      <c r="IAB214" s="181"/>
      <c r="IAC214" s="181"/>
      <c r="IAD214" s="181"/>
      <c r="IAE214" s="181"/>
      <c r="IAF214" s="181"/>
      <c r="IAG214" s="181"/>
      <c r="IAH214" s="181"/>
      <c r="IAI214" s="181"/>
      <c r="IAJ214" s="181"/>
      <c r="IAK214" s="181"/>
      <c r="IAL214" s="181"/>
      <c r="IAM214" s="181"/>
      <c r="IAN214" s="181"/>
      <c r="IAO214" s="181"/>
      <c r="IAP214" s="181"/>
      <c r="IAQ214" s="181"/>
      <c r="IAR214" s="181"/>
      <c r="IAS214" s="181"/>
      <c r="IAT214" s="181"/>
      <c r="IAU214" s="181"/>
      <c r="IAV214" s="181"/>
      <c r="IAW214" s="181"/>
      <c r="IAX214" s="181"/>
      <c r="IAY214" s="181"/>
      <c r="IAZ214" s="181"/>
      <c r="IBA214" s="181"/>
      <c r="IBB214" s="181"/>
      <c r="IBC214" s="181"/>
      <c r="IBD214" s="181"/>
      <c r="IBE214" s="181"/>
      <c r="IBF214" s="181"/>
      <c r="IBG214" s="181"/>
      <c r="IBH214" s="181"/>
      <c r="IBI214" s="181"/>
      <c r="IBJ214" s="181"/>
      <c r="IBK214" s="181"/>
      <c r="IBL214" s="181"/>
      <c r="IBM214" s="181"/>
      <c r="IBN214" s="181"/>
      <c r="IBO214" s="181"/>
      <c r="IBP214" s="181"/>
      <c r="IBQ214" s="181"/>
      <c r="IBR214" s="181"/>
      <c r="IBS214" s="181"/>
      <c r="IBT214" s="181"/>
      <c r="IBU214" s="181"/>
      <c r="IBV214" s="181"/>
      <c r="IBW214" s="181"/>
      <c r="IBX214" s="181"/>
      <c r="IBY214" s="181"/>
      <c r="IBZ214" s="181"/>
      <c r="ICA214" s="181"/>
      <c r="ICB214" s="181"/>
      <c r="ICC214" s="181"/>
      <c r="ICD214" s="181"/>
      <c r="ICE214" s="181"/>
      <c r="ICF214" s="181"/>
      <c r="ICG214" s="181"/>
      <c r="ICH214" s="181"/>
      <c r="ICI214" s="181"/>
      <c r="ICJ214" s="181"/>
      <c r="ICK214" s="181"/>
      <c r="ICL214" s="181"/>
      <c r="ICM214" s="181"/>
      <c r="ICN214" s="181"/>
      <c r="ICO214" s="181"/>
      <c r="ICP214" s="181"/>
      <c r="ICQ214" s="181"/>
      <c r="ICR214" s="181"/>
      <c r="ICS214" s="181"/>
      <c r="ICT214" s="181"/>
      <c r="ICU214" s="181"/>
      <c r="ICV214" s="181"/>
      <c r="ICW214" s="181"/>
      <c r="ICX214" s="181"/>
      <c r="ICY214" s="181"/>
      <c r="ICZ214" s="181"/>
      <c r="IDA214" s="181"/>
      <c r="IDB214" s="181"/>
      <c r="IDC214" s="181"/>
      <c r="IDD214" s="181"/>
      <c r="IDE214" s="181"/>
      <c r="IDF214" s="181"/>
      <c r="IDG214" s="181"/>
      <c r="IDH214" s="181"/>
      <c r="IDI214" s="181"/>
      <c r="IDJ214" s="181"/>
      <c r="IDK214" s="181"/>
      <c r="IDL214" s="181"/>
      <c r="IDM214" s="181"/>
      <c r="IDN214" s="181"/>
      <c r="IDO214" s="181"/>
      <c r="IDP214" s="181"/>
      <c r="IDQ214" s="181"/>
      <c r="IDR214" s="181"/>
      <c r="IDS214" s="181"/>
      <c r="IDT214" s="181"/>
      <c r="IDU214" s="181"/>
      <c r="IDV214" s="181"/>
      <c r="IDW214" s="181"/>
      <c r="IDX214" s="181"/>
      <c r="IDY214" s="181"/>
      <c r="IDZ214" s="181"/>
      <c r="IEA214" s="181"/>
      <c r="IEB214" s="181"/>
      <c r="IEC214" s="181"/>
      <c r="IED214" s="181"/>
      <c r="IEE214" s="181"/>
      <c r="IEF214" s="181"/>
      <c r="IEG214" s="181"/>
      <c r="IEH214" s="181"/>
      <c r="IEI214" s="181"/>
      <c r="IEJ214" s="181"/>
      <c r="IEK214" s="181"/>
      <c r="IEL214" s="181"/>
      <c r="IEM214" s="181"/>
      <c r="IEN214" s="181"/>
      <c r="IEO214" s="181"/>
      <c r="IEP214" s="181"/>
      <c r="IEQ214" s="181"/>
      <c r="IER214" s="181"/>
      <c r="IES214" s="181"/>
      <c r="IET214" s="181"/>
      <c r="IEU214" s="181"/>
      <c r="IEV214" s="181"/>
      <c r="IEW214" s="181"/>
      <c r="IEX214" s="181"/>
      <c r="IEY214" s="181"/>
      <c r="IEZ214" s="181"/>
      <c r="IFA214" s="181"/>
      <c r="IFB214" s="181"/>
      <c r="IFC214" s="181"/>
      <c r="IFD214" s="181"/>
      <c r="IFE214" s="181"/>
      <c r="IFF214" s="181"/>
      <c r="IFG214" s="181"/>
      <c r="IFH214" s="181"/>
      <c r="IFI214" s="181"/>
      <c r="IFJ214" s="181"/>
      <c r="IFK214" s="181"/>
      <c r="IFL214" s="181"/>
      <c r="IFM214" s="181"/>
      <c r="IFN214" s="181"/>
      <c r="IFO214" s="181"/>
      <c r="IFP214" s="181"/>
      <c r="IFQ214" s="181"/>
      <c r="IFR214" s="181"/>
      <c r="IFS214" s="181"/>
      <c r="IFT214" s="181"/>
      <c r="IFU214" s="181"/>
      <c r="IFV214" s="181"/>
      <c r="IFW214" s="181"/>
      <c r="IFX214" s="181"/>
      <c r="IFY214" s="181"/>
      <c r="IFZ214" s="181"/>
      <c r="IGA214" s="181"/>
      <c r="IGB214" s="181"/>
      <c r="IGC214" s="181"/>
      <c r="IGD214" s="181"/>
      <c r="IGE214" s="181"/>
      <c r="IGF214" s="181"/>
      <c r="IGG214" s="181"/>
      <c r="IGH214" s="181"/>
      <c r="IGI214" s="181"/>
      <c r="IGJ214" s="181"/>
      <c r="IGK214" s="181"/>
      <c r="IGL214" s="181"/>
      <c r="IGM214" s="181"/>
      <c r="IGN214" s="181"/>
      <c r="IGO214" s="181"/>
      <c r="IGP214" s="181"/>
      <c r="IGQ214" s="181"/>
      <c r="IGR214" s="181"/>
      <c r="IGS214" s="181"/>
      <c r="IGT214" s="181"/>
      <c r="IGU214" s="181"/>
      <c r="IGV214" s="181"/>
      <c r="IGW214" s="181"/>
      <c r="IGX214" s="181"/>
      <c r="IGY214" s="181"/>
      <c r="IGZ214" s="181"/>
      <c r="IHA214" s="181"/>
      <c r="IHB214" s="181"/>
      <c r="IHC214" s="181"/>
      <c r="IHD214" s="181"/>
      <c r="IHE214" s="181"/>
      <c r="IHF214" s="181"/>
      <c r="IHG214" s="181"/>
      <c r="IHH214" s="181"/>
      <c r="IHI214" s="181"/>
      <c r="IHJ214" s="181"/>
      <c r="IHK214" s="181"/>
      <c r="IHL214" s="181"/>
      <c r="IHM214" s="181"/>
      <c r="IHN214" s="181"/>
      <c r="IHO214" s="181"/>
      <c r="IHP214" s="181"/>
      <c r="IHQ214" s="181"/>
      <c r="IHR214" s="181"/>
      <c r="IHS214" s="181"/>
      <c r="IHT214" s="181"/>
      <c r="IHU214" s="181"/>
      <c r="IHV214" s="181"/>
      <c r="IHW214" s="181"/>
      <c r="IHX214" s="181"/>
      <c r="IHY214" s="181"/>
      <c r="IHZ214" s="181"/>
      <c r="IIA214" s="181"/>
      <c r="IIB214" s="181"/>
      <c r="IIC214" s="181"/>
      <c r="IID214" s="181"/>
      <c r="IIE214" s="181"/>
      <c r="IIF214" s="181"/>
      <c r="IIG214" s="181"/>
      <c r="IIH214" s="181"/>
      <c r="III214" s="181"/>
      <c r="IIJ214" s="181"/>
      <c r="IIK214" s="181"/>
      <c r="IIL214" s="181"/>
      <c r="IIM214" s="181"/>
      <c r="IIN214" s="181"/>
      <c r="IIO214" s="181"/>
      <c r="IIP214" s="181"/>
      <c r="IIQ214" s="181"/>
      <c r="IIR214" s="181"/>
      <c r="IIS214" s="181"/>
      <c r="IIT214" s="181"/>
      <c r="IIU214" s="181"/>
      <c r="IIV214" s="181"/>
      <c r="IIW214" s="181"/>
      <c r="IIX214" s="181"/>
      <c r="IIY214" s="181"/>
      <c r="IIZ214" s="181"/>
      <c r="IJA214" s="181"/>
      <c r="IJB214" s="181"/>
      <c r="IJC214" s="181"/>
      <c r="IJD214" s="181"/>
      <c r="IJE214" s="181"/>
      <c r="IJF214" s="181"/>
      <c r="IJG214" s="181"/>
      <c r="IJH214" s="181"/>
      <c r="IJI214" s="181"/>
      <c r="IJJ214" s="181"/>
      <c r="IJK214" s="181"/>
      <c r="IJL214" s="181"/>
      <c r="IJM214" s="181"/>
      <c r="IJN214" s="181"/>
      <c r="IJO214" s="181"/>
      <c r="IJP214" s="181"/>
      <c r="IJQ214" s="181"/>
      <c r="IJR214" s="181"/>
      <c r="IJS214" s="181"/>
      <c r="IJT214" s="181"/>
      <c r="IJU214" s="181"/>
      <c r="IJV214" s="181"/>
      <c r="IJW214" s="181"/>
      <c r="IJX214" s="181"/>
      <c r="IJY214" s="181"/>
      <c r="IJZ214" s="181"/>
      <c r="IKA214" s="181"/>
      <c r="IKB214" s="181"/>
      <c r="IKC214" s="181"/>
      <c r="IKD214" s="181"/>
      <c r="IKE214" s="181"/>
      <c r="IKF214" s="181"/>
      <c r="IKG214" s="181"/>
      <c r="IKH214" s="181"/>
      <c r="IKI214" s="181"/>
      <c r="IKJ214" s="181"/>
      <c r="IKK214" s="181"/>
      <c r="IKL214" s="181"/>
      <c r="IKM214" s="181"/>
      <c r="IKN214" s="181"/>
      <c r="IKO214" s="181"/>
      <c r="IKP214" s="181"/>
      <c r="IKQ214" s="181"/>
      <c r="IKR214" s="181"/>
      <c r="IKS214" s="181"/>
      <c r="IKT214" s="181"/>
      <c r="IKU214" s="181"/>
      <c r="IKV214" s="181"/>
      <c r="IKW214" s="181"/>
      <c r="IKX214" s="181"/>
      <c r="IKY214" s="181"/>
      <c r="IKZ214" s="181"/>
      <c r="ILA214" s="181"/>
      <c r="ILB214" s="181"/>
      <c r="ILC214" s="181"/>
      <c r="ILD214" s="181"/>
      <c r="ILE214" s="181"/>
      <c r="ILF214" s="181"/>
      <c r="ILG214" s="181"/>
      <c r="ILH214" s="181"/>
      <c r="ILI214" s="181"/>
      <c r="ILJ214" s="181"/>
      <c r="ILK214" s="181"/>
      <c r="ILL214" s="181"/>
      <c r="ILM214" s="181"/>
      <c r="ILN214" s="181"/>
      <c r="ILO214" s="181"/>
      <c r="ILP214" s="181"/>
      <c r="ILQ214" s="181"/>
      <c r="ILR214" s="181"/>
      <c r="ILS214" s="181"/>
      <c r="ILT214" s="181"/>
      <c r="ILU214" s="181"/>
      <c r="ILV214" s="181"/>
      <c r="ILW214" s="181"/>
      <c r="ILX214" s="181"/>
      <c r="ILY214" s="181"/>
      <c r="ILZ214" s="181"/>
      <c r="IMA214" s="181"/>
      <c r="IMB214" s="181"/>
      <c r="IMC214" s="181"/>
      <c r="IMD214" s="181"/>
      <c r="IME214" s="181"/>
      <c r="IMF214" s="181"/>
      <c r="IMG214" s="181"/>
      <c r="IMH214" s="181"/>
      <c r="IMI214" s="181"/>
      <c r="IMJ214" s="181"/>
      <c r="IMK214" s="181"/>
      <c r="IML214" s="181"/>
      <c r="IMM214" s="181"/>
      <c r="IMN214" s="181"/>
      <c r="IMO214" s="181"/>
      <c r="IMP214" s="181"/>
      <c r="IMQ214" s="181"/>
      <c r="IMR214" s="181"/>
      <c r="IMS214" s="181"/>
      <c r="IMT214" s="181"/>
      <c r="IMU214" s="181"/>
      <c r="IMV214" s="181"/>
      <c r="IMW214" s="181"/>
      <c r="IMX214" s="181"/>
      <c r="IMY214" s="181"/>
      <c r="IMZ214" s="181"/>
      <c r="INA214" s="181"/>
      <c r="INB214" s="181"/>
      <c r="INC214" s="181"/>
      <c r="IND214" s="181"/>
      <c r="INE214" s="181"/>
      <c r="INF214" s="181"/>
      <c r="ING214" s="181"/>
      <c r="INH214" s="181"/>
      <c r="INI214" s="181"/>
      <c r="INJ214" s="181"/>
      <c r="INK214" s="181"/>
      <c r="INL214" s="181"/>
      <c r="INM214" s="181"/>
      <c r="INN214" s="181"/>
      <c r="INO214" s="181"/>
      <c r="INP214" s="181"/>
      <c r="INQ214" s="181"/>
      <c r="INR214" s="181"/>
      <c r="INS214" s="181"/>
      <c r="INT214" s="181"/>
      <c r="INU214" s="181"/>
      <c r="INV214" s="181"/>
      <c r="INW214" s="181"/>
      <c r="INX214" s="181"/>
      <c r="INY214" s="181"/>
      <c r="INZ214" s="181"/>
      <c r="IOA214" s="181"/>
      <c r="IOB214" s="181"/>
      <c r="IOC214" s="181"/>
      <c r="IOD214" s="181"/>
      <c r="IOE214" s="181"/>
      <c r="IOF214" s="181"/>
      <c r="IOG214" s="181"/>
      <c r="IOH214" s="181"/>
      <c r="IOI214" s="181"/>
      <c r="IOJ214" s="181"/>
      <c r="IOK214" s="181"/>
      <c r="IOL214" s="181"/>
      <c r="IOM214" s="181"/>
      <c r="ION214" s="181"/>
      <c r="IOO214" s="181"/>
      <c r="IOP214" s="181"/>
      <c r="IOQ214" s="181"/>
      <c r="IOR214" s="181"/>
      <c r="IOS214" s="181"/>
      <c r="IOT214" s="181"/>
      <c r="IOU214" s="181"/>
      <c r="IOV214" s="181"/>
      <c r="IOW214" s="181"/>
      <c r="IOX214" s="181"/>
      <c r="IOY214" s="181"/>
      <c r="IOZ214" s="181"/>
      <c r="IPA214" s="181"/>
      <c r="IPB214" s="181"/>
      <c r="IPC214" s="181"/>
      <c r="IPD214" s="181"/>
      <c r="IPE214" s="181"/>
      <c r="IPF214" s="181"/>
      <c r="IPG214" s="181"/>
      <c r="IPH214" s="181"/>
      <c r="IPI214" s="181"/>
      <c r="IPJ214" s="181"/>
      <c r="IPK214" s="181"/>
      <c r="IPL214" s="181"/>
      <c r="IPM214" s="181"/>
      <c r="IPN214" s="181"/>
      <c r="IPO214" s="181"/>
      <c r="IPP214" s="181"/>
      <c r="IPQ214" s="181"/>
      <c r="IPR214" s="181"/>
      <c r="IPS214" s="181"/>
      <c r="IPT214" s="181"/>
      <c r="IPU214" s="181"/>
      <c r="IPV214" s="181"/>
      <c r="IPW214" s="181"/>
      <c r="IPX214" s="181"/>
      <c r="IPY214" s="181"/>
      <c r="IPZ214" s="181"/>
      <c r="IQA214" s="181"/>
      <c r="IQB214" s="181"/>
      <c r="IQC214" s="181"/>
      <c r="IQD214" s="181"/>
      <c r="IQE214" s="181"/>
      <c r="IQF214" s="181"/>
      <c r="IQG214" s="181"/>
      <c r="IQH214" s="181"/>
      <c r="IQI214" s="181"/>
      <c r="IQJ214" s="181"/>
      <c r="IQK214" s="181"/>
      <c r="IQL214" s="181"/>
      <c r="IQM214" s="181"/>
      <c r="IQN214" s="181"/>
      <c r="IQO214" s="181"/>
      <c r="IQP214" s="181"/>
      <c r="IQQ214" s="181"/>
      <c r="IQR214" s="181"/>
      <c r="IQS214" s="181"/>
      <c r="IQT214" s="181"/>
      <c r="IQU214" s="181"/>
      <c r="IQV214" s="181"/>
      <c r="IQW214" s="181"/>
      <c r="IQX214" s="181"/>
      <c r="IQY214" s="181"/>
      <c r="IQZ214" s="181"/>
      <c r="IRA214" s="181"/>
      <c r="IRB214" s="181"/>
      <c r="IRC214" s="181"/>
      <c r="IRD214" s="181"/>
      <c r="IRE214" s="181"/>
      <c r="IRF214" s="181"/>
      <c r="IRG214" s="181"/>
      <c r="IRH214" s="181"/>
      <c r="IRI214" s="181"/>
      <c r="IRJ214" s="181"/>
      <c r="IRK214" s="181"/>
      <c r="IRL214" s="181"/>
      <c r="IRM214" s="181"/>
      <c r="IRN214" s="181"/>
      <c r="IRO214" s="181"/>
      <c r="IRP214" s="181"/>
      <c r="IRQ214" s="181"/>
      <c r="IRR214" s="181"/>
      <c r="IRS214" s="181"/>
      <c r="IRT214" s="181"/>
      <c r="IRU214" s="181"/>
      <c r="IRV214" s="181"/>
      <c r="IRW214" s="181"/>
      <c r="IRX214" s="181"/>
      <c r="IRY214" s="181"/>
      <c r="IRZ214" s="181"/>
      <c r="ISA214" s="181"/>
      <c r="ISB214" s="181"/>
      <c r="ISC214" s="181"/>
      <c r="ISD214" s="181"/>
      <c r="ISE214" s="181"/>
      <c r="ISF214" s="181"/>
      <c r="ISG214" s="181"/>
      <c r="ISH214" s="181"/>
      <c r="ISI214" s="181"/>
      <c r="ISJ214" s="181"/>
      <c r="ISK214" s="181"/>
      <c r="ISL214" s="181"/>
      <c r="ISM214" s="181"/>
      <c r="ISN214" s="181"/>
      <c r="ISO214" s="181"/>
      <c r="ISP214" s="181"/>
      <c r="ISQ214" s="181"/>
      <c r="ISR214" s="181"/>
      <c r="ISS214" s="181"/>
      <c r="IST214" s="181"/>
      <c r="ISU214" s="181"/>
      <c r="ISV214" s="181"/>
      <c r="ISW214" s="181"/>
      <c r="ISX214" s="181"/>
      <c r="ISY214" s="181"/>
      <c r="ISZ214" s="181"/>
      <c r="ITA214" s="181"/>
      <c r="ITB214" s="181"/>
      <c r="ITC214" s="181"/>
      <c r="ITD214" s="181"/>
      <c r="ITE214" s="181"/>
      <c r="ITF214" s="181"/>
      <c r="ITG214" s="181"/>
      <c r="ITH214" s="181"/>
      <c r="ITI214" s="181"/>
      <c r="ITJ214" s="181"/>
      <c r="ITK214" s="181"/>
      <c r="ITL214" s="181"/>
      <c r="ITM214" s="181"/>
      <c r="ITN214" s="181"/>
      <c r="ITO214" s="181"/>
      <c r="ITP214" s="181"/>
      <c r="ITQ214" s="181"/>
      <c r="ITR214" s="181"/>
      <c r="ITS214" s="181"/>
      <c r="ITT214" s="181"/>
      <c r="ITU214" s="181"/>
      <c r="ITV214" s="181"/>
      <c r="ITW214" s="181"/>
      <c r="ITX214" s="181"/>
      <c r="ITY214" s="181"/>
      <c r="ITZ214" s="181"/>
      <c r="IUA214" s="181"/>
      <c r="IUB214" s="181"/>
      <c r="IUC214" s="181"/>
      <c r="IUD214" s="181"/>
      <c r="IUE214" s="181"/>
      <c r="IUF214" s="181"/>
      <c r="IUG214" s="181"/>
      <c r="IUH214" s="181"/>
      <c r="IUI214" s="181"/>
      <c r="IUJ214" s="181"/>
      <c r="IUK214" s="181"/>
      <c r="IUL214" s="181"/>
      <c r="IUM214" s="181"/>
      <c r="IUN214" s="181"/>
      <c r="IUO214" s="181"/>
      <c r="IUP214" s="181"/>
      <c r="IUQ214" s="181"/>
      <c r="IUR214" s="181"/>
      <c r="IUS214" s="181"/>
      <c r="IUT214" s="181"/>
      <c r="IUU214" s="181"/>
      <c r="IUV214" s="181"/>
      <c r="IUW214" s="181"/>
      <c r="IUX214" s="181"/>
      <c r="IUY214" s="181"/>
      <c r="IUZ214" s="181"/>
      <c r="IVA214" s="181"/>
      <c r="IVB214" s="181"/>
      <c r="IVC214" s="181"/>
      <c r="IVD214" s="181"/>
      <c r="IVE214" s="181"/>
      <c r="IVF214" s="181"/>
      <c r="IVG214" s="181"/>
      <c r="IVH214" s="181"/>
      <c r="IVI214" s="181"/>
      <c r="IVJ214" s="181"/>
      <c r="IVK214" s="181"/>
      <c r="IVL214" s="181"/>
      <c r="IVM214" s="181"/>
      <c r="IVN214" s="181"/>
      <c r="IVO214" s="181"/>
      <c r="IVP214" s="181"/>
      <c r="IVQ214" s="181"/>
      <c r="IVR214" s="181"/>
      <c r="IVS214" s="181"/>
      <c r="IVT214" s="181"/>
      <c r="IVU214" s="181"/>
      <c r="IVV214" s="181"/>
      <c r="IVW214" s="181"/>
      <c r="IVX214" s="181"/>
      <c r="IVY214" s="181"/>
      <c r="IVZ214" s="181"/>
      <c r="IWA214" s="181"/>
      <c r="IWB214" s="181"/>
      <c r="IWC214" s="181"/>
      <c r="IWD214" s="181"/>
      <c r="IWE214" s="181"/>
      <c r="IWF214" s="181"/>
      <c r="IWG214" s="181"/>
      <c r="IWH214" s="181"/>
      <c r="IWI214" s="181"/>
      <c r="IWJ214" s="181"/>
      <c r="IWK214" s="181"/>
      <c r="IWL214" s="181"/>
      <c r="IWM214" s="181"/>
      <c r="IWN214" s="181"/>
      <c r="IWO214" s="181"/>
      <c r="IWP214" s="181"/>
      <c r="IWQ214" s="181"/>
      <c r="IWR214" s="181"/>
      <c r="IWS214" s="181"/>
      <c r="IWT214" s="181"/>
      <c r="IWU214" s="181"/>
      <c r="IWV214" s="181"/>
      <c r="IWW214" s="181"/>
      <c r="IWX214" s="181"/>
      <c r="IWY214" s="181"/>
      <c r="IWZ214" s="181"/>
      <c r="IXA214" s="181"/>
      <c r="IXB214" s="181"/>
      <c r="IXC214" s="181"/>
      <c r="IXD214" s="181"/>
      <c r="IXE214" s="181"/>
      <c r="IXF214" s="181"/>
      <c r="IXG214" s="181"/>
      <c r="IXH214" s="181"/>
      <c r="IXI214" s="181"/>
      <c r="IXJ214" s="181"/>
      <c r="IXK214" s="181"/>
      <c r="IXL214" s="181"/>
      <c r="IXM214" s="181"/>
      <c r="IXN214" s="181"/>
      <c r="IXO214" s="181"/>
      <c r="IXP214" s="181"/>
      <c r="IXQ214" s="181"/>
      <c r="IXR214" s="181"/>
      <c r="IXS214" s="181"/>
      <c r="IXT214" s="181"/>
      <c r="IXU214" s="181"/>
      <c r="IXV214" s="181"/>
      <c r="IXW214" s="181"/>
      <c r="IXX214" s="181"/>
      <c r="IXY214" s="181"/>
      <c r="IXZ214" s="181"/>
      <c r="IYA214" s="181"/>
      <c r="IYB214" s="181"/>
      <c r="IYC214" s="181"/>
      <c r="IYD214" s="181"/>
      <c r="IYE214" s="181"/>
      <c r="IYF214" s="181"/>
      <c r="IYG214" s="181"/>
      <c r="IYH214" s="181"/>
      <c r="IYI214" s="181"/>
      <c r="IYJ214" s="181"/>
      <c r="IYK214" s="181"/>
      <c r="IYL214" s="181"/>
      <c r="IYM214" s="181"/>
      <c r="IYN214" s="181"/>
      <c r="IYO214" s="181"/>
      <c r="IYP214" s="181"/>
      <c r="IYQ214" s="181"/>
      <c r="IYR214" s="181"/>
      <c r="IYS214" s="181"/>
      <c r="IYT214" s="181"/>
      <c r="IYU214" s="181"/>
      <c r="IYV214" s="181"/>
      <c r="IYW214" s="181"/>
      <c r="IYX214" s="181"/>
      <c r="IYY214" s="181"/>
      <c r="IYZ214" s="181"/>
      <c r="IZA214" s="181"/>
      <c r="IZB214" s="181"/>
      <c r="IZC214" s="181"/>
      <c r="IZD214" s="181"/>
      <c r="IZE214" s="181"/>
      <c r="IZF214" s="181"/>
      <c r="IZG214" s="181"/>
      <c r="IZH214" s="181"/>
      <c r="IZI214" s="181"/>
      <c r="IZJ214" s="181"/>
      <c r="IZK214" s="181"/>
      <c r="IZL214" s="181"/>
      <c r="IZM214" s="181"/>
      <c r="IZN214" s="181"/>
      <c r="IZO214" s="181"/>
      <c r="IZP214" s="181"/>
      <c r="IZQ214" s="181"/>
      <c r="IZR214" s="181"/>
      <c r="IZS214" s="181"/>
      <c r="IZT214" s="181"/>
      <c r="IZU214" s="181"/>
      <c r="IZV214" s="181"/>
      <c r="IZW214" s="181"/>
      <c r="IZX214" s="181"/>
      <c r="IZY214" s="181"/>
      <c r="IZZ214" s="181"/>
      <c r="JAA214" s="181"/>
      <c r="JAB214" s="181"/>
      <c r="JAC214" s="181"/>
      <c r="JAD214" s="181"/>
      <c r="JAE214" s="181"/>
      <c r="JAF214" s="181"/>
      <c r="JAG214" s="181"/>
      <c r="JAH214" s="181"/>
      <c r="JAI214" s="181"/>
      <c r="JAJ214" s="181"/>
      <c r="JAK214" s="181"/>
      <c r="JAL214" s="181"/>
      <c r="JAM214" s="181"/>
      <c r="JAN214" s="181"/>
      <c r="JAO214" s="181"/>
      <c r="JAP214" s="181"/>
      <c r="JAQ214" s="181"/>
      <c r="JAR214" s="181"/>
      <c r="JAS214" s="181"/>
      <c r="JAT214" s="181"/>
      <c r="JAU214" s="181"/>
      <c r="JAV214" s="181"/>
      <c r="JAW214" s="181"/>
      <c r="JAX214" s="181"/>
      <c r="JAY214" s="181"/>
      <c r="JAZ214" s="181"/>
      <c r="JBA214" s="181"/>
      <c r="JBB214" s="181"/>
      <c r="JBC214" s="181"/>
      <c r="JBD214" s="181"/>
      <c r="JBE214" s="181"/>
      <c r="JBF214" s="181"/>
      <c r="JBG214" s="181"/>
      <c r="JBH214" s="181"/>
      <c r="JBI214" s="181"/>
      <c r="JBJ214" s="181"/>
      <c r="JBK214" s="181"/>
      <c r="JBL214" s="181"/>
      <c r="JBM214" s="181"/>
      <c r="JBN214" s="181"/>
      <c r="JBO214" s="181"/>
      <c r="JBP214" s="181"/>
      <c r="JBQ214" s="181"/>
      <c r="JBR214" s="181"/>
      <c r="JBS214" s="181"/>
      <c r="JBT214" s="181"/>
      <c r="JBU214" s="181"/>
      <c r="JBV214" s="181"/>
      <c r="JBW214" s="181"/>
      <c r="JBX214" s="181"/>
      <c r="JBY214" s="181"/>
      <c r="JBZ214" s="181"/>
      <c r="JCA214" s="181"/>
      <c r="JCB214" s="181"/>
      <c r="JCC214" s="181"/>
      <c r="JCD214" s="181"/>
      <c r="JCE214" s="181"/>
      <c r="JCF214" s="181"/>
      <c r="JCG214" s="181"/>
      <c r="JCH214" s="181"/>
      <c r="JCI214" s="181"/>
      <c r="JCJ214" s="181"/>
      <c r="JCK214" s="181"/>
      <c r="JCL214" s="181"/>
      <c r="JCM214" s="181"/>
      <c r="JCN214" s="181"/>
      <c r="JCO214" s="181"/>
      <c r="JCP214" s="181"/>
      <c r="JCQ214" s="181"/>
      <c r="JCR214" s="181"/>
      <c r="JCS214" s="181"/>
      <c r="JCT214" s="181"/>
      <c r="JCU214" s="181"/>
      <c r="JCV214" s="181"/>
      <c r="JCW214" s="181"/>
      <c r="JCX214" s="181"/>
      <c r="JCY214" s="181"/>
      <c r="JCZ214" s="181"/>
      <c r="JDA214" s="181"/>
      <c r="JDB214" s="181"/>
      <c r="JDC214" s="181"/>
      <c r="JDD214" s="181"/>
      <c r="JDE214" s="181"/>
      <c r="JDF214" s="181"/>
      <c r="JDG214" s="181"/>
      <c r="JDH214" s="181"/>
      <c r="JDI214" s="181"/>
      <c r="JDJ214" s="181"/>
      <c r="JDK214" s="181"/>
      <c r="JDL214" s="181"/>
      <c r="JDM214" s="181"/>
      <c r="JDN214" s="181"/>
      <c r="JDO214" s="181"/>
      <c r="JDP214" s="181"/>
      <c r="JDQ214" s="181"/>
      <c r="JDR214" s="181"/>
      <c r="JDS214" s="181"/>
      <c r="JDT214" s="181"/>
      <c r="JDU214" s="181"/>
      <c r="JDV214" s="181"/>
      <c r="JDW214" s="181"/>
      <c r="JDX214" s="181"/>
      <c r="JDY214" s="181"/>
      <c r="JDZ214" s="181"/>
      <c r="JEA214" s="181"/>
      <c r="JEB214" s="181"/>
      <c r="JEC214" s="181"/>
      <c r="JED214" s="181"/>
      <c r="JEE214" s="181"/>
      <c r="JEF214" s="181"/>
      <c r="JEG214" s="181"/>
      <c r="JEH214" s="181"/>
      <c r="JEI214" s="181"/>
      <c r="JEJ214" s="181"/>
      <c r="JEK214" s="181"/>
      <c r="JEL214" s="181"/>
      <c r="JEM214" s="181"/>
      <c r="JEN214" s="181"/>
      <c r="JEO214" s="181"/>
      <c r="JEP214" s="181"/>
      <c r="JEQ214" s="181"/>
      <c r="JER214" s="181"/>
      <c r="JES214" s="181"/>
      <c r="JET214" s="181"/>
      <c r="JEU214" s="181"/>
      <c r="JEV214" s="181"/>
      <c r="JEW214" s="181"/>
      <c r="JEX214" s="181"/>
      <c r="JEY214" s="181"/>
      <c r="JEZ214" s="181"/>
      <c r="JFA214" s="181"/>
      <c r="JFB214" s="181"/>
      <c r="JFC214" s="181"/>
      <c r="JFD214" s="181"/>
      <c r="JFE214" s="181"/>
      <c r="JFF214" s="181"/>
      <c r="JFG214" s="181"/>
      <c r="JFH214" s="181"/>
      <c r="JFI214" s="181"/>
      <c r="JFJ214" s="181"/>
      <c r="JFK214" s="181"/>
      <c r="JFL214" s="181"/>
      <c r="JFM214" s="181"/>
      <c r="JFN214" s="181"/>
      <c r="JFO214" s="181"/>
      <c r="JFP214" s="181"/>
      <c r="JFQ214" s="181"/>
      <c r="JFR214" s="181"/>
      <c r="JFS214" s="181"/>
      <c r="JFT214" s="181"/>
      <c r="JFU214" s="181"/>
      <c r="JFV214" s="181"/>
      <c r="JFW214" s="181"/>
      <c r="JFX214" s="181"/>
      <c r="JFY214" s="181"/>
      <c r="JFZ214" s="181"/>
      <c r="JGA214" s="181"/>
      <c r="JGB214" s="181"/>
      <c r="JGC214" s="181"/>
      <c r="JGD214" s="181"/>
      <c r="JGE214" s="181"/>
      <c r="JGF214" s="181"/>
      <c r="JGG214" s="181"/>
      <c r="JGH214" s="181"/>
      <c r="JGI214" s="181"/>
      <c r="JGJ214" s="181"/>
      <c r="JGK214" s="181"/>
      <c r="JGL214" s="181"/>
      <c r="JGM214" s="181"/>
      <c r="JGN214" s="181"/>
      <c r="JGO214" s="181"/>
      <c r="JGP214" s="181"/>
      <c r="JGQ214" s="181"/>
      <c r="JGR214" s="181"/>
      <c r="JGS214" s="181"/>
      <c r="JGT214" s="181"/>
      <c r="JGU214" s="181"/>
      <c r="JGV214" s="181"/>
      <c r="JGW214" s="181"/>
      <c r="JGX214" s="181"/>
      <c r="JGY214" s="181"/>
      <c r="JGZ214" s="181"/>
      <c r="JHA214" s="181"/>
      <c r="JHB214" s="181"/>
      <c r="JHC214" s="181"/>
      <c r="JHD214" s="181"/>
      <c r="JHE214" s="181"/>
      <c r="JHF214" s="181"/>
      <c r="JHG214" s="181"/>
      <c r="JHH214" s="181"/>
      <c r="JHI214" s="181"/>
      <c r="JHJ214" s="181"/>
      <c r="JHK214" s="181"/>
      <c r="JHL214" s="181"/>
      <c r="JHM214" s="181"/>
      <c r="JHN214" s="181"/>
      <c r="JHO214" s="181"/>
      <c r="JHP214" s="181"/>
      <c r="JHQ214" s="181"/>
      <c r="JHR214" s="181"/>
      <c r="JHS214" s="181"/>
      <c r="JHT214" s="181"/>
      <c r="JHU214" s="181"/>
      <c r="JHV214" s="181"/>
      <c r="JHW214" s="181"/>
      <c r="JHX214" s="181"/>
      <c r="JHY214" s="181"/>
      <c r="JHZ214" s="181"/>
      <c r="JIA214" s="181"/>
      <c r="JIB214" s="181"/>
      <c r="JIC214" s="181"/>
      <c r="JID214" s="181"/>
      <c r="JIE214" s="181"/>
      <c r="JIF214" s="181"/>
      <c r="JIG214" s="181"/>
      <c r="JIH214" s="181"/>
      <c r="JII214" s="181"/>
      <c r="JIJ214" s="181"/>
      <c r="JIK214" s="181"/>
      <c r="JIL214" s="181"/>
      <c r="JIM214" s="181"/>
      <c r="JIN214" s="181"/>
      <c r="JIO214" s="181"/>
      <c r="JIP214" s="181"/>
      <c r="JIQ214" s="181"/>
      <c r="JIR214" s="181"/>
      <c r="JIS214" s="181"/>
      <c r="JIT214" s="181"/>
      <c r="JIU214" s="181"/>
      <c r="JIV214" s="181"/>
      <c r="JIW214" s="181"/>
      <c r="JIX214" s="181"/>
      <c r="JIY214" s="181"/>
      <c r="JIZ214" s="181"/>
      <c r="JJA214" s="181"/>
      <c r="JJB214" s="181"/>
      <c r="JJC214" s="181"/>
      <c r="JJD214" s="181"/>
      <c r="JJE214" s="181"/>
      <c r="JJF214" s="181"/>
      <c r="JJG214" s="181"/>
      <c r="JJH214" s="181"/>
      <c r="JJI214" s="181"/>
      <c r="JJJ214" s="181"/>
      <c r="JJK214" s="181"/>
      <c r="JJL214" s="181"/>
      <c r="JJM214" s="181"/>
      <c r="JJN214" s="181"/>
      <c r="JJO214" s="181"/>
      <c r="JJP214" s="181"/>
      <c r="JJQ214" s="181"/>
      <c r="JJR214" s="181"/>
      <c r="JJS214" s="181"/>
      <c r="JJT214" s="181"/>
      <c r="JJU214" s="181"/>
      <c r="JJV214" s="181"/>
      <c r="JJW214" s="181"/>
      <c r="JJX214" s="181"/>
      <c r="JJY214" s="181"/>
      <c r="JJZ214" s="181"/>
      <c r="JKA214" s="181"/>
      <c r="JKB214" s="181"/>
      <c r="JKC214" s="181"/>
      <c r="JKD214" s="181"/>
      <c r="JKE214" s="181"/>
      <c r="JKF214" s="181"/>
      <c r="JKG214" s="181"/>
      <c r="JKH214" s="181"/>
      <c r="JKI214" s="181"/>
      <c r="JKJ214" s="181"/>
      <c r="JKK214" s="181"/>
      <c r="JKL214" s="181"/>
      <c r="JKM214" s="181"/>
      <c r="JKN214" s="181"/>
      <c r="JKO214" s="181"/>
      <c r="JKP214" s="181"/>
      <c r="JKQ214" s="181"/>
      <c r="JKR214" s="181"/>
      <c r="JKS214" s="181"/>
      <c r="JKT214" s="181"/>
      <c r="JKU214" s="181"/>
      <c r="JKV214" s="181"/>
      <c r="JKW214" s="181"/>
      <c r="JKX214" s="181"/>
      <c r="JKY214" s="181"/>
      <c r="JKZ214" s="181"/>
      <c r="JLA214" s="181"/>
      <c r="JLB214" s="181"/>
      <c r="JLC214" s="181"/>
      <c r="JLD214" s="181"/>
      <c r="JLE214" s="181"/>
      <c r="JLF214" s="181"/>
      <c r="JLG214" s="181"/>
      <c r="JLH214" s="181"/>
      <c r="JLI214" s="181"/>
      <c r="JLJ214" s="181"/>
      <c r="JLK214" s="181"/>
      <c r="JLL214" s="181"/>
      <c r="JLM214" s="181"/>
      <c r="JLN214" s="181"/>
      <c r="JLO214" s="181"/>
      <c r="JLP214" s="181"/>
      <c r="JLQ214" s="181"/>
      <c r="JLR214" s="181"/>
      <c r="JLS214" s="181"/>
      <c r="JLT214" s="181"/>
      <c r="JLU214" s="181"/>
      <c r="JLV214" s="181"/>
      <c r="JLW214" s="181"/>
      <c r="JLX214" s="181"/>
      <c r="JLY214" s="181"/>
      <c r="JLZ214" s="181"/>
      <c r="JMA214" s="181"/>
      <c r="JMB214" s="181"/>
      <c r="JMC214" s="181"/>
      <c r="JMD214" s="181"/>
      <c r="JME214" s="181"/>
      <c r="JMF214" s="181"/>
      <c r="JMG214" s="181"/>
      <c r="JMH214" s="181"/>
      <c r="JMI214" s="181"/>
      <c r="JMJ214" s="181"/>
      <c r="JMK214" s="181"/>
      <c r="JML214" s="181"/>
      <c r="JMM214" s="181"/>
      <c r="JMN214" s="181"/>
      <c r="JMO214" s="181"/>
      <c r="JMP214" s="181"/>
      <c r="JMQ214" s="181"/>
      <c r="JMR214" s="181"/>
      <c r="JMS214" s="181"/>
      <c r="JMT214" s="181"/>
      <c r="JMU214" s="181"/>
      <c r="JMV214" s="181"/>
      <c r="JMW214" s="181"/>
      <c r="JMX214" s="181"/>
      <c r="JMY214" s="181"/>
      <c r="JMZ214" s="181"/>
      <c r="JNA214" s="181"/>
      <c r="JNB214" s="181"/>
      <c r="JNC214" s="181"/>
      <c r="JND214" s="181"/>
      <c r="JNE214" s="181"/>
      <c r="JNF214" s="181"/>
      <c r="JNG214" s="181"/>
      <c r="JNH214" s="181"/>
      <c r="JNI214" s="181"/>
      <c r="JNJ214" s="181"/>
      <c r="JNK214" s="181"/>
      <c r="JNL214" s="181"/>
      <c r="JNM214" s="181"/>
      <c r="JNN214" s="181"/>
      <c r="JNO214" s="181"/>
      <c r="JNP214" s="181"/>
      <c r="JNQ214" s="181"/>
      <c r="JNR214" s="181"/>
      <c r="JNS214" s="181"/>
      <c r="JNT214" s="181"/>
      <c r="JNU214" s="181"/>
      <c r="JNV214" s="181"/>
      <c r="JNW214" s="181"/>
      <c r="JNX214" s="181"/>
      <c r="JNY214" s="181"/>
      <c r="JNZ214" s="181"/>
      <c r="JOA214" s="181"/>
      <c r="JOB214" s="181"/>
      <c r="JOC214" s="181"/>
      <c r="JOD214" s="181"/>
      <c r="JOE214" s="181"/>
      <c r="JOF214" s="181"/>
      <c r="JOG214" s="181"/>
      <c r="JOH214" s="181"/>
      <c r="JOI214" s="181"/>
      <c r="JOJ214" s="181"/>
      <c r="JOK214" s="181"/>
      <c r="JOL214" s="181"/>
      <c r="JOM214" s="181"/>
      <c r="JON214" s="181"/>
      <c r="JOO214" s="181"/>
      <c r="JOP214" s="181"/>
      <c r="JOQ214" s="181"/>
      <c r="JOR214" s="181"/>
      <c r="JOS214" s="181"/>
      <c r="JOT214" s="181"/>
      <c r="JOU214" s="181"/>
      <c r="JOV214" s="181"/>
      <c r="JOW214" s="181"/>
      <c r="JOX214" s="181"/>
      <c r="JOY214" s="181"/>
      <c r="JOZ214" s="181"/>
      <c r="JPA214" s="181"/>
      <c r="JPB214" s="181"/>
      <c r="JPC214" s="181"/>
      <c r="JPD214" s="181"/>
      <c r="JPE214" s="181"/>
      <c r="JPF214" s="181"/>
      <c r="JPG214" s="181"/>
      <c r="JPH214" s="181"/>
      <c r="JPI214" s="181"/>
      <c r="JPJ214" s="181"/>
      <c r="JPK214" s="181"/>
      <c r="JPL214" s="181"/>
      <c r="JPM214" s="181"/>
      <c r="JPN214" s="181"/>
      <c r="JPO214" s="181"/>
      <c r="JPP214" s="181"/>
      <c r="JPQ214" s="181"/>
      <c r="JPR214" s="181"/>
      <c r="JPS214" s="181"/>
      <c r="JPT214" s="181"/>
      <c r="JPU214" s="181"/>
      <c r="JPV214" s="181"/>
      <c r="JPW214" s="181"/>
      <c r="JPX214" s="181"/>
      <c r="JPY214" s="181"/>
      <c r="JPZ214" s="181"/>
      <c r="JQA214" s="181"/>
      <c r="JQB214" s="181"/>
      <c r="JQC214" s="181"/>
      <c r="JQD214" s="181"/>
      <c r="JQE214" s="181"/>
      <c r="JQF214" s="181"/>
      <c r="JQG214" s="181"/>
      <c r="JQH214" s="181"/>
      <c r="JQI214" s="181"/>
      <c r="JQJ214" s="181"/>
      <c r="JQK214" s="181"/>
      <c r="JQL214" s="181"/>
      <c r="JQM214" s="181"/>
      <c r="JQN214" s="181"/>
      <c r="JQO214" s="181"/>
      <c r="JQP214" s="181"/>
      <c r="JQQ214" s="181"/>
      <c r="JQR214" s="181"/>
      <c r="JQS214" s="181"/>
      <c r="JQT214" s="181"/>
      <c r="JQU214" s="181"/>
      <c r="JQV214" s="181"/>
      <c r="JQW214" s="181"/>
      <c r="JQX214" s="181"/>
      <c r="JQY214" s="181"/>
      <c r="JQZ214" s="181"/>
      <c r="JRA214" s="181"/>
      <c r="JRB214" s="181"/>
      <c r="JRC214" s="181"/>
      <c r="JRD214" s="181"/>
      <c r="JRE214" s="181"/>
      <c r="JRF214" s="181"/>
      <c r="JRG214" s="181"/>
      <c r="JRH214" s="181"/>
      <c r="JRI214" s="181"/>
      <c r="JRJ214" s="181"/>
      <c r="JRK214" s="181"/>
      <c r="JRL214" s="181"/>
      <c r="JRM214" s="181"/>
      <c r="JRN214" s="181"/>
      <c r="JRO214" s="181"/>
      <c r="JRP214" s="181"/>
      <c r="JRQ214" s="181"/>
      <c r="JRR214" s="181"/>
      <c r="JRS214" s="181"/>
      <c r="JRT214" s="181"/>
      <c r="JRU214" s="181"/>
      <c r="JRV214" s="181"/>
      <c r="JRW214" s="181"/>
      <c r="JRX214" s="181"/>
      <c r="JRY214" s="181"/>
      <c r="JRZ214" s="181"/>
      <c r="JSA214" s="181"/>
      <c r="JSB214" s="181"/>
      <c r="JSC214" s="181"/>
      <c r="JSD214" s="181"/>
      <c r="JSE214" s="181"/>
      <c r="JSF214" s="181"/>
      <c r="JSG214" s="181"/>
      <c r="JSH214" s="181"/>
      <c r="JSI214" s="181"/>
      <c r="JSJ214" s="181"/>
      <c r="JSK214" s="181"/>
      <c r="JSL214" s="181"/>
      <c r="JSM214" s="181"/>
      <c r="JSN214" s="181"/>
      <c r="JSO214" s="181"/>
      <c r="JSP214" s="181"/>
      <c r="JSQ214" s="181"/>
      <c r="JSR214" s="181"/>
      <c r="JSS214" s="181"/>
      <c r="JST214" s="181"/>
      <c r="JSU214" s="181"/>
      <c r="JSV214" s="181"/>
      <c r="JSW214" s="181"/>
      <c r="JSX214" s="181"/>
      <c r="JSY214" s="181"/>
      <c r="JSZ214" s="181"/>
      <c r="JTA214" s="181"/>
      <c r="JTB214" s="181"/>
      <c r="JTC214" s="181"/>
      <c r="JTD214" s="181"/>
      <c r="JTE214" s="181"/>
      <c r="JTF214" s="181"/>
      <c r="JTG214" s="181"/>
      <c r="JTH214" s="181"/>
      <c r="JTI214" s="181"/>
      <c r="JTJ214" s="181"/>
      <c r="JTK214" s="181"/>
      <c r="JTL214" s="181"/>
      <c r="JTM214" s="181"/>
      <c r="JTN214" s="181"/>
      <c r="JTO214" s="181"/>
      <c r="JTP214" s="181"/>
      <c r="JTQ214" s="181"/>
      <c r="JTR214" s="181"/>
      <c r="JTS214" s="181"/>
      <c r="JTT214" s="181"/>
      <c r="JTU214" s="181"/>
      <c r="JTV214" s="181"/>
      <c r="JTW214" s="181"/>
      <c r="JTX214" s="181"/>
      <c r="JTY214" s="181"/>
      <c r="JTZ214" s="181"/>
      <c r="JUA214" s="181"/>
      <c r="JUB214" s="181"/>
      <c r="JUC214" s="181"/>
      <c r="JUD214" s="181"/>
      <c r="JUE214" s="181"/>
      <c r="JUF214" s="181"/>
      <c r="JUG214" s="181"/>
      <c r="JUH214" s="181"/>
      <c r="JUI214" s="181"/>
      <c r="JUJ214" s="181"/>
      <c r="JUK214" s="181"/>
      <c r="JUL214" s="181"/>
      <c r="JUM214" s="181"/>
      <c r="JUN214" s="181"/>
      <c r="JUO214" s="181"/>
      <c r="JUP214" s="181"/>
      <c r="JUQ214" s="181"/>
      <c r="JUR214" s="181"/>
      <c r="JUS214" s="181"/>
      <c r="JUT214" s="181"/>
      <c r="JUU214" s="181"/>
      <c r="JUV214" s="181"/>
      <c r="JUW214" s="181"/>
      <c r="JUX214" s="181"/>
      <c r="JUY214" s="181"/>
      <c r="JUZ214" s="181"/>
      <c r="JVA214" s="181"/>
      <c r="JVB214" s="181"/>
      <c r="JVC214" s="181"/>
      <c r="JVD214" s="181"/>
      <c r="JVE214" s="181"/>
      <c r="JVF214" s="181"/>
      <c r="JVG214" s="181"/>
      <c r="JVH214" s="181"/>
      <c r="JVI214" s="181"/>
      <c r="JVJ214" s="181"/>
      <c r="JVK214" s="181"/>
      <c r="JVL214" s="181"/>
      <c r="JVM214" s="181"/>
      <c r="JVN214" s="181"/>
      <c r="JVO214" s="181"/>
      <c r="JVP214" s="181"/>
      <c r="JVQ214" s="181"/>
      <c r="JVR214" s="181"/>
      <c r="JVS214" s="181"/>
      <c r="JVT214" s="181"/>
      <c r="JVU214" s="181"/>
      <c r="JVV214" s="181"/>
      <c r="JVW214" s="181"/>
      <c r="JVX214" s="181"/>
      <c r="JVY214" s="181"/>
      <c r="JVZ214" s="181"/>
      <c r="JWA214" s="181"/>
      <c r="JWB214" s="181"/>
      <c r="JWC214" s="181"/>
      <c r="JWD214" s="181"/>
      <c r="JWE214" s="181"/>
      <c r="JWF214" s="181"/>
      <c r="JWG214" s="181"/>
      <c r="JWH214" s="181"/>
      <c r="JWI214" s="181"/>
      <c r="JWJ214" s="181"/>
      <c r="JWK214" s="181"/>
      <c r="JWL214" s="181"/>
      <c r="JWM214" s="181"/>
      <c r="JWN214" s="181"/>
      <c r="JWO214" s="181"/>
      <c r="JWP214" s="181"/>
      <c r="JWQ214" s="181"/>
      <c r="JWR214" s="181"/>
      <c r="JWS214" s="181"/>
      <c r="JWT214" s="181"/>
      <c r="JWU214" s="181"/>
      <c r="JWV214" s="181"/>
      <c r="JWW214" s="181"/>
      <c r="JWX214" s="181"/>
      <c r="JWY214" s="181"/>
      <c r="JWZ214" s="181"/>
      <c r="JXA214" s="181"/>
      <c r="JXB214" s="181"/>
      <c r="JXC214" s="181"/>
      <c r="JXD214" s="181"/>
      <c r="JXE214" s="181"/>
      <c r="JXF214" s="181"/>
      <c r="JXG214" s="181"/>
      <c r="JXH214" s="181"/>
      <c r="JXI214" s="181"/>
      <c r="JXJ214" s="181"/>
      <c r="JXK214" s="181"/>
      <c r="JXL214" s="181"/>
      <c r="JXM214" s="181"/>
      <c r="JXN214" s="181"/>
      <c r="JXO214" s="181"/>
      <c r="JXP214" s="181"/>
      <c r="JXQ214" s="181"/>
      <c r="JXR214" s="181"/>
      <c r="JXS214" s="181"/>
      <c r="JXT214" s="181"/>
      <c r="JXU214" s="181"/>
      <c r="JXV214" s="181"/>
      <c r="JXW214" s="181"/>
      <c r="JXX214" s="181"/>
      <c r="JXY214" s="181"/>
      <c r="JXZ214" s="181"/>
      <c r="JYA214" s="181"/>
      <c r="JYB214" s="181"/>
      <c r="JYC214" s="181"/>
      <c r="JYD214" s="181"/>
      <c r="JYE214" s="181"/>
      <c r="JYF214" s="181"/>
      <c r="JYG214" s="181"/>
      <c r="JYH214" s="181"/>
      <c r="JYI214" s="181"/>
      <c r="JYJ214" s="181"/>
      <c r="JYK214" s="181"/>
      <c r="JYL214" s="181"/>
      <c r="JYM214" s="181"/>
      <c r="JYN214" s="181"/>
      <c r="JYO214" s="181"/>
      <c r="JYP214" s="181"/>
      <c r="JYQ214" s="181"/>
      <c r="JYR214" s="181"/>
      <c r="JYS214" s="181"/>
      <c r="JYT214" s="181"/>
      <c r="JYU214" s="181"/>
      <c r="JYV214" s="181"/>
      <c r="JYW214" s="181"/>
      <c r="JYX214" s="181"/>
      <c r="JYY214" s="181"/>
      <c r="JYZ214" s="181"/>
      <c r="JZA214" s="181"/>
      <c r="JZB214" s="181"/>
      <c r="JZC214" s="181"/>
      <c r="JZD214" s="181"/>
      <c r="JZE214" s="181"/>
      <c r="JZF214" s="181"/>
      <c r="JZG214" s="181"/>
      <c r="JZH214" s="181"/>
      <c r="JZI214" s="181"/>
      <c r="JZJ214" s="181"/>
      <c r="JZK214" s="181"/>
      <c r="JZL214" s="181"/>
      <c r="JZM214" s="181"/>
      <c r="JZN214" s="181"/>
      <c r="JZO214" s="181"/>
      <c r="JZP214" s="181"/>
      <c r="JZQ214" s="181"/>
      <c r="JZR214" s="181"/>
      <c r="JZS214" s="181"/>
      <c r="JZT214" s="181"/>
      <c r="JZU214" s="181"/>
      <c r="JZV214" s="181"/>
      <c r="JZW214" s="181"/>
      <c r="JZX214" s="181"/>
      <c r="JZY214" s="181"/>
      <c r="JZZ214" s="181"/>
      <c r="KAA214" s="181"/>
      <c r="KAB214" s="181"/>
      <c r="KAC214" s="181"/>
      <c r="KAD214" s="181"/>
      <c r="KAE214" s="181"/>
      <c r="KAF214" s="181"/>
      <c r="KAG214" s="181"/>
      <c r="KAH214" s="181"/>
      <c r="KAI214" s="181"/>
      <c r="KAJ214" s="181"/>
      <c r="KAK214" s="181"/>
      <c r="KAL214" s="181"/>
      <c r="KAM214" s="181"/>
      <c r="KAN214" s="181"/>
      <c r="KAO214" s="181"/>
      <c r="KAP214" s="181"/>
      <c r="KAQ214" s="181"/>
      <c r="KAR214" s="181"/>
      <c r="KAS214" s="181"/>
      <c r="KAT214" s="181"/>
      <c r="KAU214" s="181"/>
      <c r="KAV214" s="181"/>
      <c r="KAW214" s="181"/>
      <c r="KAX214" s="181"/>
      <c r="KAY214" s="181"/>
      <c r="KAZ214" s="181"/>
      <c r="KBA214" s="181"/>
      <c r="KBB214" s="181"/>
      <c r="KBC214" s="181"/>
      <c r="KBD214" s="181"/>
      <c r="KBE214" s="181"/>
      <c r="KBF214" s="181"/>
      <c r="KBG214" s="181"/>
      <c r="KBH214" s="181"/>
      <c r="KBI214" s="181"/>
      <c r="KBJ214" s="181"/>
      <c r="KBK214" s="181"/>
      <c r="KBL214" s="181"/>
      <c r="KBM214" s="181"/>
      <c r="KBN214" s="181"/>
      <c r="KBO214" s="181"/>
      <c r="KBP214" s="181"/>
      <c r="KBQ214" s="181"/>
      <c r="KBR214" s="181"/>
      <c r="KBS214" s="181"/>
      <c r="KBT214" s="181"/>
      <c r="KBU214" s="181"/>
      <c r="KBV214" s="181"/>
      <c r="KBW214" s="181"/>
      <c r="KBX214" s="181"/>
      <c r="KBY214" s="181"/>
      <c r="KBZ214" s="181"/>
      <c r="KCA214" s="181"/>
      <c r="KCB214" s="181"/>
      <c r="KCC214" s="181"/>
      <c r="KCD214" s="181"/>
      <c r="KCE214" s="181"/>
      <c r="KCF214" s="181"/>
      <c r="KCG214" s="181"/>
      <c r="KCH214" s="181"/>
      <c r="KCI214" s="181"/>
      <c r="KCJ214" s="181"/>
      <c r="KCK214" s="181"/>
      <c r="KCL214" s="181"/>
      <c r="KCM214" s="181"/>
      <c r="KCN214" s="181"/>
      <c r="KCO214" s="181"/>
      <c r="KCP214" s="181"/>
      <c r="KCQ214" s="181"/>
      <c r="KCR214" s="181"/>
      <c r="KCS214" s="181"/>
      <c r="KCT214" s="181"/>
      <c r="KCU214" s="181"/>
      <c r="KCV214" s="181"/>
      <c r="KCW214" s="181"/>
      <c r="KCX214" s="181"/>
      <c r="KCY214" s="181"/>
      <c r="KCZ214" s="181"/>
      <c r="KDA214" s="181"/>
      <c r="KDB214" s="181"/>
      <c r="KDC214" s="181"/>
      <c r="KDD214" s="181"/>
      <c r="KDE214" s="181"/>
      <c r="KDF214" s="181"/>
      <c r="KDG214" s="181"/>
      <c r="KDH214" s="181"/>
      <c r="KDI214" s="181"/>
      <c r="KDJ214" s="181"/>
      <c r="KDK214" s="181"/>
      <c r="KDL214" s="181"/>
      <c r="KDM214" s="181"/>
      <c r="KDN214" s="181"/>
      <c r="KDO214" s="181"/>
      <c r="KDP214" s="181"/>
      <c r="KDQ214" s="181"/>
      <c r="KDR214" s="181"/>
      <c r="KDS214" s="181"/>
      <c r="KDT214" s="181"/>
      <c r="KDU214" s="181"/>
      <c r="KDV214" s="181"/>
      <c r="KDW214" s="181"/>
      <c r="KDX214" s="181"/>
      <c r="KDY214" s="181"/>
      <c r="KDZ214" s="181"/>
      <c r="KEA214" s="181"/>
      <c r="KEB214" s="181"/>
      <c r="KEC214" s="181"/>
      <c r="KED214" s="181"/>
      <c r="KEE214" s="181"/>
      <c r="KEF214" s="181"/>
      <c r="KEG214" s="181"/>
      <c r="KEH214" s="181"/>
      <c r="KEI214" s="181"/>
      <c r="KEJ214" s="181"/>
      <c r="KEK214" s="181"/>
      <c r="KEL214" s="181"/>
      <c r="KEM214" s="181"/>
      <c r="KEN214" s="181"/>
      <c r="KEO214" s="181"/>
      <c r="KEP214" s="181"/>
      <c r="KEQ214" s="181"/>
      <c r="KER214" s="181"/>
      <c r="KES214" s="181"/>
      <c r="KET214" s="181"/>
      <c r="KEU214" s="181"/>
      <c r="KEV214" s="181"/>
      <c r="KEW214" s="181"/>
      <c r="KEX214" s="181"/>
      <c r="KEY214" s="181"/>
      <c r="KEZ214" s="181"/>
      <c r="KFA214" s="181"/>
      <c r="KFB214" s="181"/>
      <c r="KFC214" s="181"/>
      <c r="KFD214" s="181"/>
      <c r="KFE214" s="181"/>
      <c r="KFF214" s="181"/>
      <c r="KFG214" s="181"/>
      <c r="KFH214" s="181"/>
      <c r="KFI214" s="181"/>
      <c r="KFJ214" s="181"/>
      <c r="KFK214" s="181"/>
      <c r="KFL214" s="181"/>
      <c r="KFM214" s="181"/>
      <c r="KFN214" s="181"/>
      <c r="KFO214" s="181"/>
      <c r="KFP214" s="181"/>
      <c r="KFQ214" s="181"/>
      <c r="KFR214" s="181"/>
      <c r="KFS214" s="181"/>
      <c r="KFT214" s="181"/>
      <c r="KFU214" s="181"/>
      <c r="KFV214" s="181"/>
      <c r="KFW214" s="181"/>
      <c r="KFX214" s="181"/>
      <c r="KFY214" s="181"/>
      <c r="KFZ214" s="181"/>
      <c r="KGA214" s="181"/>
      <c r="KGB214" s="181"/>
      <c r="KGC214" s="181"/>
      <c r="KGD214" s="181"/>
      <c r="KGE214" s="181"/>
      <c r="KGF214" s="181"/>
      <c r="KGG214" s="181"/>
      <c r="KGH214" s="181"/>
      <c r="KGI214" s="181"/>
      <c r="KGJ214" s="181"/>
      <c r="KGK214" s="181"/>
      <c r="KGL214" s="181"/>
      <c r="KGM214" s="181"/>
      <c r="KGN214" s="181"/>
      <c r="KGO214" s="181"/>
      <c r="KGP214" s="181"/>
      <c r="KGQ214" s="181"/>
      <c r="KGR214" s="181"/>
      <c r="KGS214" s="181"/>
      <c r="KGT214" s="181"/>
      <c r="KGU214" s="181"/>
      <c r="KGV214" s="181"/>
      <c r="KGW214" s="181"/>
      <c r="KGX214" s="181"/>
      <c r="KGY214" s="181"/>
      <c r="KGZ214" s="181"/>
      <c r="KHA214" s="181"/>
      <c r="KHB214" s="181"/>
      <c r="KHC214" s="181"/>
      <c r="KHD214" s="181"/>
      <c r="KHE214" s="181"/>
      <c r="KHF214" s="181"/>
      <c r="KHG214" s="181"/>
      <c r="KHH214" s="181"/>
      <c r="KHI214" s="181"/>
      <c r="KHJ214" s="181"/>
      <c r="KHK214" s="181"/>
      <c r="KHL214" s="181"/>
      <c r="KHM214" s="181"/>
      <c r="KHN214" s="181"/>
      <c r="KHO214" s="181"/>
      <c r="KHP214" s="181"/>
      <c r="KHQ214" s="181"/>
      <c r="KHR214" s="181"/>
      <c r="KHS214" s="181"/>
      <c r="KHT214" s="181"/>
      <c r="KHU214" s="181"/>
      <c r="KHV214" s="181"/>
      <c r="KHW214" s="181"/>
      <c r="KHX214" s="181"/>
      <c r="KHY214" s="181"/>
      <c r="KHZ214" s="181"/>
      <c r="KIA214" s="181"/>
      <c r="KIB214" s="181"/>
      <c r="KIC214" s="181"/>
      <c r="KID214" s="181"/>
      <c r="KIE214" s="181"/>
      <c r="KIF214" s="181"/>
      <c r="KIG214" s="181"/>
      <c r="KIH214" s="181"/>
      <c r="KII214" s="181"/>
      <c r="KIJ214" s="181"/>
      <c r="KIK214" s="181"/>
      <c r="KIL214" s="181"/>
      <c r="KIM214" s="181"/>
      <c r="KIN214" s="181"/>
      <c r="KIO214" s="181"/>
      <c r="KIP214" s="181"/>
      <c r="KIQ214" s="181"/>
      <c r="KIR214" s="181"/>
      <c r="KIS214" s="181"/>
      <c r="KIT214" s="181"/>
      <c r="KIU214" s="181"/>
      <c r="KIV214" s="181"/>
      <c r="KIW214" s="181"/>
      <c r="KIX214" s="181"/>
      <c r="KIY214" s="181"/>
      <c r="KIZ214" s="181"/>
      <c r="KJA214" s="181"/>
      <c r="KJB214" s="181"/>
      <c r="KJC214" s="181"/>
      <c r="KJD214" s="181"/>
      <c r="KJE214" s="181"/>
      <c r="KJF214" s="181"/>
      <c r="KJG214" s="181"/>
      <c r="KJH214" s="181"/>
      <c r="KJI214" s="181"/>
      <c r="KJJ214" s="181"/>
      <c r="KJK214" s="181"/>
      <c r="KJL214" s="181"/>
      <c r="KJM214" s="181"/>
      <c r="KJN214" s="181"/>
      <c r="KJO214" s="181"/>
      <c r="KJP214" s="181"/>
      <c r="KJQ214" s="181"/>
      <c r="KJR214" s="181"/>
      <c r="KJS214" s="181"/>
      <c r="KJT214" s="181"/>
      <c r="KJU214" s="181"/>
      <c r="KJV214" s="181"/>
      <c r="KJW214" s="181"/>
      <c r="KJX214" s="181"/>
      <c r="KJY214" s="181"/>
      <c r="KJZ214" s="181"/>
      <c r="KKA214" s="181"/>
      <c r="KKB214" s="181"/>
      <c r="KKC214" s="181"/>
      <c r="KKD214" s="181"/>
      <c r="KKE214" s="181"/>
      <c r="KKF214" s="181"/>
      <c r="KKG214" s="181"/>
      <c r="KKH214" s="181"/>
      <c r="KKI214" s="181"/>
      <c r="KKJ214" s="181"/>
      <c r="KKK214" s="181"/>
      <c r="KKL214" s="181"/>
      <c r="KKM214" s="181"/>
      <c r="KKN214" s="181"/>
      <c r="KKO214" s="181"/>
      <c r="KKP214" s="181"/>
      <c r="KKQ214" s="181"/>
      <c r="KKR214" s="181"/>
      <c r="KKS214" s="181"/>
      <c r="KKT214" s="181"/>
      <c r="KKU214" s="181"/>
      <c r="KKV214" s="181"/>
      <c r="KKW214" s="181"/>
      <c r="KKX214" s="181"/>
      <c r="KKY214" s="181"/>
      <c r="KKZ214" s="181"/>
      <c r="KLA214" s="181"/>
      <c r="KLB214" s="181"/>
      <c r="KLC214" s="181"/>
      <c r="KLD214" s="181"/>
      <c r="KLE214" s="181"/>
      <c r="KLF214" s="181"/>
      <c r="KLG214" s="181"/>
      <c r="KLH214" s="181"/>
      <c r="KLI214" s="181"/>
      <c r="KLJ214" s="181"/>
      <c r="KLK214" s="181"/>
      <c r="KLL214" s="181"/>
      <c r="KLM214" s="181"/>
      <c r="KLN214" s="181"/>
      <c r="KLO214" s="181"/>
      <c r="KLP214" s="181"/>
      <c r="KLQ214" s="181"/>
      <c r="KLR214" s="181"/>
      <c r="KLS214" s="181"/>
      <c r="KLT214" s="181"/>
      <c r="KLU214" s="181"/>
      <c r="KLV214" s="181"/>
      <c r="KLW214" s="181"/>
      <c r="KLX214" s="181"/>
      <c r="KLY214" s="181"/>
      <c r="KLZ214" s="181"/>
      <c r="KMA214" s="181"/>
      <c r="KMB214" s="181"/>
      <c r="KMC214" s="181"/>
      <c r="KMD214" s="181"/>
      <c r="KME214" s="181"/>
      <c r="KMF214" s="181"/>
      <c r="KMG214" s="181"/>
      <c r="KMH214" s="181"/>
      <c r="KMI214" s="181"/>
      <c r="KMJ214" s="181"/>
      <c r="KMK214" s="181"/>
      <c r="KML214" s="181"/>
      <c r="KMM214" s="181"/>
      <c r="KMN214" s="181"/>
      <c r="KMO214" s="181"/>
      <c r="KMP214" s="181"/>
      <c r="KMQ214" s="181"/>
      <c r="KMR214" s="181"/>
      <c r="KMS214" s="181"/>
      <c r="KMT214" s="181"/>
      <c r="KMU214" s="181"/>
      <c r="KMV214" s="181"/>
      <c r="KMW214" s="181"/>
      <c r="KMX214" s="181"/>
      <c r="KMY214" s="181"/>
      <c r="KMZ214" s="181"/>
      <c r="KNA214" s="181"/>
      <c r="KNB214" s="181"/>
      <c r="KNC214" s="181"/>
      <c r="KND214" s="181"/>
      <c r="KNE214" s="181"/>
      <c r="KNF214" s="181"/>
      <c r="KNG214" s="181"/>
      <c r="KNH214" s="181"/>
      <c r="KNI214" s="181"/>
      <c r="KNJ214" s="181"/>
      <c r="KNK214" s="181"/>
      <c r="KNL214" s="181"/>
      <c r="KNM214" s="181"/>
      <c r="KNN214" s="181"/>
      <c r="KNO214" s="181"/>
      <c r="KNP214" s="181"/>
      <c r="KNQ214" s="181"/>
      <c r="KNR214" s="181"/>
      <c r="KNS214" s="181"/>
      <c r="KNT214" s="181"/>
      <c r="KNU214" s="181"/>
      <c r="KNV214" s="181"/>
      <c r="KNW214" s="181"/>
      <c r="KNX214" s="181"/>
      <c r="KNY214" s="181"/>
      <c r="KNZ214" s="181"/>
      <c r="KOA214" s="181"/>
      <c r="KOB214" s="181"/>
      <c r="KOC214" s="181"/>
      <c r="KOD214" s="181"/>
      <c r="KOE214" s="181"/>
      <c r="KOF214" s="181"/>
      <c r="KOG214" s="181"/>
      <c r="KOH214" s="181"/>
      <c r="KOI214" s="181"/>
      <c r="KOJ214" s="181"/>
      <c r="KOK214" s="181"/>
      <c r="KOL214" s="181"/>
      <c r="KOM214" s="181"/>
      <c r="KON214" s="181"/>
      <c r="KOO214" s="181"/>
      <c r="KOP214" s="181"/>
      <c r="KOQ214" s="181"/>
      <c r="KOR214" s="181"/>
      <c r="KOS214" s="181"/>
      <c r="KOT214" s="181"/>
      <c r="KOU214" s="181"/>
      <c r="KOV214" s="181"/>
      <c r="KOW214" s="181"/>
      <c r="KOX214" s="181"/>
      <c r="KOY214" s="181"/>
      <c r="KOZ214" s="181"/>
      <c r="KPA214" s="181"/>
      <c r="KPB214" s="181"/>
      <c r="KPC214" s="181"/>
      <c r="KPD214" s="181"/>
      <c r="KPE214" s="181"/>
      <c r="KPF214" s="181"/>
      <c r="KPG214" s="181"/>
      <c r="KPH214" s="181"/>
      <c r="KPI214" s="181"/>
      <c r="KPJ214" s="181"/>
      <c r="KPK214" s="181"/>
      <c r="KPL214" s="181"/>
      <c r="KPM214" s="181"/>
      <c r="KPN214" s="181"/>
      <c r="KPO214" s="181"/>
      <c r="KPP214" s="181"/>
      <c r="KPQ214" s="181"/>
      <c r="KPR214" s="181"/>
      <c r="KPS214" s="181"/>
      <c r="KPT214" s="181"/>
      <c r="KPU214" s="181"/>
      <c r="KPV214" s="181"/>
      <c r="KPW214" s="181"/>
      <c r="KPX214" s="181"/>
      <c r="KPY214" s="181"/>
      <c r="KPZ214" s="181"/>
      <c r="KQA214" s="181"/>
      <c r="KQB214" s="181"/>
      <c r="KQC214" s="181"/>
      <c r="KQD214" s="181"/>
      <c r="KQE214" s="181"/>
      <c r="KQF214" s="181"/>
      <c r="KQG214" s="181"/>
      <c r="KQH214" s="181"/>
      <c r="KQI214" s="181"/>
      <c r="KQJ214" s="181"/>
      <c r="KQK214" s="181"/>
      <c r="KQL214" s="181"/>
      <c r="KQM214" s="181"/>
      <c r="KQN214" s="181"/>
      <c r="KQO214" s="181"/>
      <c r="KQP214" s="181"/>
      <c r="KQQ214" s="181"/>
      <c r="KQR214" s="181"/>
      <c r="KQS214" s="181"/>
      <c r="KQT214" s="181"/>
      <c r="KQU214" s="181"/>
      <c r="KQV214" s="181"/>
      <c r="KQW214" s="181"/>
      <c r="KQX214" s="181"/>
      <c r="KQY214" s="181"/>
      <c r="KQZ214" s="181"/>
      <c r="KRA214" s="181"/>
      <c r="KRB214" s="181"/>
      <c r="KRC214" s="181"/>
      <c r="KRD214" s="181"/>
      <c r="KRE214" s="181"/>
      <c r="KRF214" s="181"/>
      <c r="KRG214" s="181"/>
      <c r="KRH214" s="181"/>
      <c r="KRI214" s="181"/>
      <c r="KRJ214" s="181"/>
      <c r="KRK214" s="181"/>
      <c r="KRL214" s="181"/>
      <c r="KRM214" s="181"/>
      <c r="KRN214" s="181"/>
      <c r="KRO214" s="181"/>
      <c r="KRP214" s="181"/>
      <c r="KRQ214" s="181"/>
      <c r="KRR214" s="181"/>
      <c r="KRS214" s="181"/>
      <c r="KRT214" s="181"/>
      <c r="KRU214" s="181"/>
      <c r="KRV214" s="181"/>
      <c r="KRW214" s="181"/>
      <c r="KRX214" s="181"/>
      <c r="KRY214" s="181"/>
      <c r="KRZ214" s="181"/>
      <c r="KSA214" s="181"/>
      <c r="KSB214" s="181"/>
      <c r="KSC214" s="181"/>
      <c r="KSD214" s="181"/>
      <c r="KSE214" s="181"/>
      <c r="KSF214" s="181"/>
      <c r="KSG214" s="181"/>
      <c r="KSH214" s="181"/>
      <c r="KSI214" s="181"/>
      <c r="KSJ214" s="181"/>
      <c r="KSK214" s="181"/>
      <c r="KSL214" s="181"/>
      <c r="KSM214" s="181"/>
      <c r="KSN214" s="181"/>
      <c r="KSO214" s="181"/>
      <c r="KSP214" s="181"/>
      <c r="KSQ214" s="181"/>
      <c r="KSR214" s="181"/>
      <c r="KSS214" s="181"/>
      <c r="KST214" s="181"/>
      <c r="KSU214" s="181"/>
      <c r="KSV214" s="181"/>
      <c r="KSW214" s="181"/>
      <c r="KSX214" s="181"/>
      <c r="KSY214" s="181"/>
      <c r="KSZ214" s="181"/>
      <c r="KTA214" s="181"/>
      <c r="KTB214" s="181"/>
      <c r="KTC214" s="181"/>
      <c r="KTD214" s="181"/>
      <c r="KTE214" s="181"/>
      <c r="KTF214" s="181"/>
      <c r="KTG214" s="181"/>
      <c r="KTH214" s="181"/>
      <c r="KTI214" s="181"/>
      <c r="KTJ214" s="181"/>
      <c r="KTK214" s="181"/>
      <c r="KTL214" s="181"/>
      <c r="KTM214" s="181"/>
      <c r="KTN214" s="181"/>
      <c r="KTO214" s="181"/>
      <c r="KTP214" s="181"/>
      <c r="KTQ214" s="181"/>
      <c r="KTR214" s="181"/>
      <c r="KTS214" s="181"/>
      <c r="KTT214" s="181"/>
      <c r="KTU214" s="181"/>
      <c r="KTV214" s="181"/>
      <c r="KTW214" s="181"/>
      <c r="KTX214" s="181"/>
      <c r="KTY214" s="181"/>
      <c r="KTZ214" s="181"/>
      <c r="KUA214" s="181"/>
      <c r="KUB214" s="181"/>
      <c r="KUC214" s="181"/>
      <c r="KUD214" s="181"/>
      <c r="KUE214" s="181"/>
      <c r="KUF214" s="181"/>
      <c r="KUG214" s="181"/>
      <c r="KUH214" s="181"/>
      <c r="KUI214" s="181"/>
      <c r="KUJ214" s="181"/>
      <c r="KUK214" s="181"/>
      <c r="KUL214" s="181"/>
      <c r="KUM214" s="181"/>
      <c r="KUN214" s="181"/>
      <c r="KUO214" s="181"/>
      <c r="KUP214" s="181"/>
      <c r="KUQ214" s="181"/>
      <c r="KUR214" s="181"/>
      <c r="KUS214" s="181"/>
      <c r="KUT214" s="181"/>
      <c r="KUU214" s="181"/>
      <c r="KUV214" s="181"/>
      <c r="KUW214" s="181"/>
      <c r="KUX214" s="181"/>
      <c r="KUY214" s="181"/>
      <c r="KUZ214" s="181"/>
      <c r="KVA214" s="181"/>
      <c r="KVB214" s="181"/>
      <c r="KVC214" s="181"/>
      <c r="KVD214" s="181"/>
      <c r="KVE214" s="181"/>
      <c r="KVF214" s="181"/>
      <c r="KVG214" s="181"/>
      <c r="KVH214" s="181"/>
      <c r="KVI214" s="181"/>
      <c r="KVJ214" s="181"/>
      <c r="KVK214" s="181"/>
      <c r="KVL214" s="181"/>
      <c r="KVM214" s="181"/>
      <c r="KVN214" s="181"/>
      <c r="KVO214" s="181"/>
      <c r="KVP214" s="181"/>
      <c r="KVQ214" s="181"/>
      <c r="KVR214" s="181"/>
      <c r="KVS214" s="181"/>
      <c r="KVT214" s="181"/>
      <c r="KVU214" s="181"/>
      <c r="KVV214" s="181"/>
      <c r="KVW214" s="181"/>
      <c r="KVX214" s="181"/>
      <c r="KVY214" s="181"/>
      <c r="KVZ214" s="181"/>
      <c r="KWA214" s="181"/>
      <c r="KWB214" s="181"/>
      <c r="KWC214" s="181"/>
      <c r="KWD214" s="181"/>
      <c r="KWE214" s="181"/>
      <c r="KWF214" s="181"/>
      <c r="KWG214" s="181"/>
      <c r="KWH214" s="181"/>
      <c r="KWI214" s="181"/>
      <c r="KWJ214" s="181"/>
      <c r="KWK214" s="181"/>
      <c r="KWL214" s="181"/>
      <c r="KWM214" s="181"/>
      <c r="KWN214" s="181"/>
      <c r="KWO214" s="181"/>
      <c r="KWP214" s="181"/>
      <c r="KWQ214" s="181"/>
      <c r="KWR214" s="181"/>
      <c r="KWS214" s="181"/>
      <c r="KWT214" s="181"/>
      <c r="KWU214" s="181"/>
      <c r="KWV214" s="181"/>
      <c r="KWW214" s="181"/>
      <c r="KWX214" s="181"/>
      <c r="KWY214" s="181"/>
      <c r="KWZ214" s="181"/>
      <c r="KXA214" s="181"/>
      <c r="KXB214" s="181"/>
      <c r="KXC214" s="181"/>
      <c r="KXD214" s="181"/>
      <c r="KXE214" s="181"/>
      <c r="KXF214" s="181"/>
      <c r="KXG214" s="181"/>
      <c r="KXH214" s="181"/>
      <c r="KXI214" s="181"/>
      <c r="KXJ214" s="181"/>
      <c r="KXK214" s="181"/>
      <c r="KXL214" s="181"/>
      <c r="KXM214" s="181"/>
      <c r="KXN214" s="181"/>
      <c r="KXO214" s="181"/>
      <c r="KXP214" s="181"/>
      <c r="KXQ214" s="181"/>
      <c r="KXR214" s="181"/>
      <c r="KXS214" s="181"/>
      <c r="KXT214" s="181"/>
      <c r="KXU214" s="181"/>
      <c r="KXV214" s="181"/>
      <c r="KXW214" s="181"/>
      <c r="KXX214" s="181"/>
      <c r="KXY214" s="181"/>
      <c r="KXZ214" s="181"/>
      <c r="KYA214" s="181"/>
      <c r="KYB214" s="181"/>
      <c r="KYC214" s="181"/>
      <c r="KYD214" s="181"/>
      <c r="KYE214" s="181"/>
      <c r="KYF214" s="181"/>
      <c r="KYG214" s="181"/>
      <c r="KYH214" s="181"/>
      <c r="KYI214" s="181"/>
      <c r="KYJ214" s="181"/>
      <c r="KYK214" s="181"/>
      <c r="KYL214" s="181"/>
      <c r="KYM214" s="181"/>
      <c r="KYN214" s="181"/>
      <c r="KYO214" s="181"/>
      <c r="KYP214" s="181"/>
      <c r="KYQ214" s="181"/>
      <c r="KYR214" s="181"/>
      <c r="KYS214" s="181"/>
      <c r="KYT214" s="181"/>
      <c r="KYU214" s="181"/>
      <c r="KYV214" s="181"/>
      <c r="KYW214" s="181"/>
      <c r="KYX214" s="181"/>
      <c r="KYY214" s="181"/>
      <c r="KYZ214" s="181"/>
      <c r="KZA214" s="181"/>
      <c r="KZB214" s="181"/>
      <c r="KZC214" s="181"/>
      <c r="KZD214" s="181"/>
      <c r="KZE214" s="181"/>
      <c r="KZF214" s="181"/>
      <c r="KZG214" s="181"/>
      <c r="KZH214" s="181"/>
      <c r="KZI214" s="181"/>
      <c r="KZJ214" s="181"/>
      <c r="KZK214" s="181"/>
      <c r="KZL214" s="181"/>
      <c r="KZM214" s="181"/>
      <c r="KZN214" s="181"/>
      <c r="KZO214" s="181"/>
      <c r="KZP214" s="181"/>
      <c r="KZQ214" s="181"/>
      <c r="KZR214" s="181"/>
      <c r="KZS214" s="181"/>
      <c r="KZT214" s="181"/>
      <c r="KZU214" s="181"/>
      <c r="KZV214" s="181"/>
      <c r="KZW214" s="181"/>
      <c r="KZX214" s="181"/>
      <c r="KZY214" s="181"/>
      <c r="KZZ214" s="181"/>
      <c r="LAA214" s="181"/>
      <c r="LAB214" s="181"/>
      <c r="LAC214" s="181"/>
      <c r="LAD214" s="181"/>
      <c r="LAE214" s="181"/>
      <c r="LAF214" s="181"/>
      <c r="LAG214" s="181"/>
      <c r="LAH214" s="181"/>
      <c r="LAI214" s="181"/>
      <c r="LAJ214" s="181"/>
      <c r="LAK214" s="181"/>
      <c r="LAL214" s="181"/>
      <c r="LAM214" s="181"/>
      <c r="LAN214" s="181"/>
      <c r="LAO214" s="181"/>
      <c r="LAP214" s="181"/>
      <c r="LAQ214" s="181"/>
      <c r="LAR214" s="181"/>
      <c r="LAS214" s="181"/>
      <c r="LAT214" s="181"/>
      <c r="LAU214" s="181"/>
      <c r="LAV214" s="181"/>
      <c r="LAW214" s="181"/>
      <c r="LAX214" s="181"/>
      <c r="LAY214" s="181"/>
      <c r="LAZ214" s="181"/>
      <c r="LBA214" s="181"/>
      <c r="LBB214" s="181"/>
      <c r="LBC214" s="181"/>
      <c r="LBD214" s="181"/>
      <c r="LBE214" s="181"/>
      <c r="LBF214" s="181"/>
      <c r="LBG214" s="181"/>
      <c r="LBH214" s="181"/>
      <c r="LBI214" s="181"/>
      <c r="LBJ214" s="181"/>
      <c r="LBK214" s="181"/>
      <c r="LBL214" s="181"/>
      <c r="LBM214" s="181"/>
      <c r="LBN214" s="181"/>
      <c r="LBO214" s="181"/>
      <c r="LBP214" s="181"/>
      <c r="LBQ214" s="181"/>
      <c r="LBR214" s="181"/>
      <c r="LBS214" s="181"/>
      <c r="LBT214" s="181"/>
      <c r="LBU214" s="181"/>
      <c r="LBV214" s="181"/>
      <c r="LBW214" s="181"/>
      <c r="LBX214" s="181"/>
      <c r="LBY214" s="181"/>
      <c r="LBZ214" s="181"/>
      <c r="LCA214" s="181"/>
      <c r="LCB214" s="181"/>
      <c r="LCC214" s="181"/>
      <c r="LCD214" s="181"/>
      <c r="LCE214" s="181"/>
      <c r="LCF214" s="181"/>
      <c r="LCG214" s="181"/>
      <c r="LCH214" s="181"/>
      <c r="LCI214" s="181"/>
      <c r="LCJ214" s="181"/>
      <c r="LCK214" s="181"/>
      <c r="LCL214" s="181"/>
      <c r="LCM214" s="181"/>
      <c r="LCN214" s="181"/>
      <c r="LCO214" s="181"/>
      <c r="LCP214" s="181"/>
      <c r="LCQ214" s="181"/>
      <c r="LCR214" s="181"/>
      <c r="LCS214" s="181"/>
      <c r="LCT214" s="181"/>
      <c r="LCU214" s="181"/>
      <c r="LCV214" s="181"/>
      <c r="LCW214" s="181"/>
      <c r="LCX214" s="181"/>
      <c r="LCY214" s="181"/>
      <c r="LCZ214" s="181"/>
      <c r="LDA214" s="181"/>
      <c r="LDB214" s="181"/>
      <c r="LDC214" s="181"/>
      <c r="LDD214" s="181"/>
      <c r="LDE214" s="181"/>
      <c r="LDF214" s="181"/>
      <c r="LDG214" s="181"/>
      <c r="LDH214" s="181"/>
      <c r="LDI214" s="181"/>
      <c r="LDJ214" s="181"/>
      <c r="LDK214" s="181"/>
      <c r="LDL214" s="181"/>
      <c r="LDM214" s="181"/>
      <c r="LDN214" s="181"/>
      <c r="LDO214" s="181"/>
      <c r="LDP214" s="181"/>
      <c r="LDQ214" s="181"/>
      <c r="LDR214" s="181"/>
      <c r="LDS214" s="181"/>
      <c r="LDT214" s="181"/>
      <c r="LDU214" s="181"/>
      <c r="LDV214" s="181"/>
      <c r="LDW214" s="181"/>
      <c r="LDX214" s="181"/>
      <c r="LDY214" s="181"/>
      <c r="LDZ214" s="181"/>
      <c r="LEA214" s="181"/>
      <c r="LEB214" s="181"/>
      <c r="LEC214" s="181"/>
      <c r="LED214" s="181"/>
      <c r="LEE214" s="181"/>
      <c r="LEF214" s="181"/>
      <c r="LEG214" s="181"/>
      <c r="LEH214" s="181"/>
      <c r="LEI214" s="181"/>
      <c r="LEJ214" s="181"/>
      <c r="LEK214" s="181"/>
      <c r="LEL214" s="181"/>
      <c r="LEM214" s="181"/>
      <c r="LEN214" s="181"/>
      <c r="LEO214" s="181"/>
      <c r="LEP214" s="181"/>
      <c r="LEQ214" s="181"/>
      <c r="LER214" s="181"/>
      <c r="LES214" s="181"/>
      <c r="LET214" s="181"/>
      <c r="LEU214" s="181"/>
      <c r="LEV214" s="181"/>
      <c r="LEW214" s="181"/>
      <c r="LEX214" s="181"/>
      <c r="LEY214" s="181"/>
      <c r="LEZ214" s="181"/>
      <c r="LFA214" s="181"/>
      <c r="LFB214" s="181"/>
      <c r="LFC214" s="181"/>
      <c r="LFD214" s="181"/>
      <c r="LFE214" s="181"/>
      <c r="LFF214" s="181"/>
      <c r="LFG214" s="181"/>
      <c r="LFH214" s="181"/>
      <c r="LFI214" s="181"/>
      <c r="LFJ214" s="181"/>
      <c r="LFK214" s="181"/>
      <c r="LFL214" s="181"/>
      <c r="LFM214" s="181"/>
      <c r="LFN214" s="181"/>
      <c r="LFO214" s="181"/>
      <c r="LFP214" s="181"/>
      <c r="LFQ214" s="181"/>
      <c r="LFR214" s="181"/>
      <c r="LFS214" s="181"/>
      <c r="LFT214" s="181"/>
      <c r="LFU214" s="181"/>
      <c r="LFV214" s="181"/>
      <c r="LFW214" s="181"/>
      <c r="LFX214" s="181"/>
      <c r="LFY214" s="181"/>
      <c r="LFZ214" s="181"/>
      <c r="LGA214" s="181"/>
      <c r="LGB214" s="181"/>
      <c r="LGC214" s="181"/>
      <c r="LGD214" s="181"/>
      <c r="LGE214" s="181"/>
      <c r="LGF214" s="181"/>
      <c r="LGG214" s="181"/>
      <c r="LGH214" s="181"/>
      <c r="LGI214" s="181"/>
      <c r="LGJ214" s="181"/>
      <c r="LGK214" s="181"/>
      <c r="LGL214" s="181"/>
      <c r="LGM214" s="181"/>
      <c r="LGN214" s="181"/>
      <c r="LGO214" s="181"/>
      <c r="LGP214" s="181"/>
      <c r="LGQ214" s="181"/>
      <c r="LGR214" s="181"/>
      <c r="LGS214" s="181"/>
      <c r="LGT214" s="181"/>
      <c r="LGU214" s="181"/>
      <c r="LGV214" s="181"/>
      <c r="LGW214" s="181"/>
      <c r="LGX214" s="181"/>
      <c r="LGY214" s="181"/>
      <c r="LGZ214" s="181"/>
      <c r="LHA214" s="181"/>
      <c r="LHB214" s="181"/>
      <c r="LHC214" s="181"/>
      <c r="LHD214" s="181"/>
      <c r="LHE214" s="181"/>
      <c r="LHF214" s="181"/>
      <c r="LHG214" s="181"/>
      <c r="LHH214" s="181"/>
      <c r="LHI214" s="181"/>
      <c r="LHJ214" s="181"/>
      <c r="LHK214" s="181"/>
      <c r="LHL214" s="181"/>
      <c r="LHM214" s="181"/>
      <c r="LHN214" s="181"/>
      <c r="LHO214" s="181"/>
      <c r="LHP214" s="181"/>
      <c r="LHQ214" s="181"/>
      <c r="LHR214" s="181"/>
      <c r="LHS214" s="181"/>
      <c r="LHT214" s="181"/>
      <c r="LHU214" s="181"/>
      <c r="LHV214" s="181"/>
      <c r="LHW214" s="181"/>
      <c r="LHX214" s="181"/>
      <c r="LHY214" s="181"/>
      <c r="LHZ214" s="181"/>
      <c r="LIA214" s="181"/>
      <c r="LIB214" s="181"/>
      <c r="LIC214" s="181"/>
      <c r="LID214" s="181"/>
      <c r="LIE214" s="181"/>
      <c r="LIF214" s="181"/>
      <c r="LIG214" s="181"/>
      <c r="LIH214" s="181"/>
      <c r="LII214" s="181"/>
      <c r="LIJ214" s="181"/>
      <c r="LIK214" s="181"/>
      <c r="LIL214" s="181"/>
      <c r="LIM214" s="181"/>
      <c r="LIN214" s="181"/>
      <c r="LIO214" s="181"/>
      <c r="LIP214" s="181"/>
      <c r="LIQ214" s="181"/>
      <c r="LIR214" s="181"/>
      <c r="LIS214" s="181"/>
      <c r="LIT214" s="181"/>
      <c r="LIU214" s="181"/>
      <c r="LIV214" s="181"/>
      <c r="LIW214" s="181"/>
      <c r="LIX214" s="181"/>
      <c r="LIY214" s="181"/>
      <c r="LIZ214" s="181"/>
      <c r="LJA214" s="181"/>
      <c r="LJB214" s="181"/>
      <c r="LJC214" s="181"/>
      <c r="LJD214" s="181"/>
      <c r="LJE214" s="181"/>
      <c r="LJF214" s="181"/>
      <c r="LJG214" s="181"/>
      <c r="LJH214" s="181"/>
      <c r="LJI214" s="181"/>
      <c r="LJJ214" s="181"/>
      <c r="LJK214" s="181"/>
      <c r="LJL214" s="181"/>
      <c r="LJM214" s="181"/>
      <c r="LJN214" s="181"/>
      <c r="LJO214" s="181"/>
      <c r="LJP214" s="181"/>
      <c r="LJQ214" s="181"/>
      <c r="LJR214" s="181"/>
      <c r="LJS214" s="181"/>
      <c r="LJT214" s="181"/>
      <c r="LJU214" s="181"/>
      <c r="LJV214" s="181"/>
      <c r="LJW214" s="181"/>
      <c r="LJX214" s="181"/>
      <c r="LJY214" s="181"/>
      <c r="LJZ214" s="181"/>
      <c r="LKA214" s="181"/>
      <c r="LKB214" s="181"/>
      <c r="LKC214" s="181"/>
      <c r="LKD214" s="181"/>
      <c r="LKE214" s="181"/>
      <c r="LKF214" s="181"/>
      <c r="LKG214" s="181"/>
      <c r="LKH214" s="181"/>
      <c r="LKI214" s="181"/>
      <c r="LKJ214" s="181"/>
      <c r="LKK214" s="181"/>
      <c r="LKL214" s="181"/>
      <c r="LKM214" s="181"/>
      <c r="LKN214" s="181"/>
      <c r="LKO214" s="181"/>
      <c r="LKP214" s="181"/>
      <c r="LKQ214" s="181"/>
      <c r="LKR214" s="181"/>
      <c r="LKS214" s="181"/>
      <c r="LKT214" s="181"/>
      <c r="LKU214" s="181"/>
      <c r="LKV214" s="181"/>
      <c r="LKW214" s="181"/>
      <c r="LKX214" s="181"/>
      <c r="LKY214" s="181"/>
      <c r="LKZ214" s="181"/>
      <c r="LLA214" s="181"/>
      <c r="LLB214" s="181"/>
      <c r="LLC214" s="181"/>
      <c r="LLD214" s="181"/>
      <c r="LLE214" s="181"/>
      <c r="LLF214" s="181"/>
      <c r="LLG214" s="181"/>
      <c r="LLH214" s="181"/>
      <c r="LLI214" s="181"/>
      <c r="LLJ214" s="181"/>
      <c r="LLK214" s="181"/>
      <c r="LLL214" s="181"/>
      <c r="LLM214" s="181"/>
      <c r="LLN214" s="181"/>
      <c r="LLO214" s="181"/>
      <c r="LLP214" s="181"/>
      <c r="LLQ214" s="181"/>
      <c r="LLR214" s="181"/>
      <c r="LLS214" s="181"/>
      <c r="LLT214" s="181"/>
      <c r="LLU214" s="181"/>
      <c r="LLV214" s="181"/>
      <c r="LLW214" s="181"/>
      <c r="LLX214" s="181"/>
      <c r="LLY214" s="181"/>
      <c r="LLZ214" s="181"/>
      <c r="LMA214" s="181"/>
      <c r="LMB214" s="181"/>
      <c r="LMC214" s="181"/>
      <c r="LMD214" s="181"/>
      <c r="LME214" s="181"/>
      <c r="LMF214" s="181"/>
      <c r="LMG214" s="181"/>
      <c r="LMH214" s="181"/>
      <c r="LMI214" s="181"/>
      <c r="LMJ214" s="181"/>
      <c r="LMK214" s="181"/>
      <c r="LML214" s="181"/>
      <c r="LMM214" s="181"/>
      <c r="LMN214" s="181"/>
      <c r="LMO214" s="181"/>
      <c r="LMP214" s="181"/>
      <c r="LMQ214" s="181"/>
      <c r="LMR214" s="181"/>
      <c r="LMS214" s="181"/>
      <c r="LMT214" s="181"/>
      <c r="LMU214" s="181"/>
      <c r="LMV214" s="181"/>
      <c r="LMW214" s="181"/>
      <c r="LMX214" s="181"/>
      <c r="LMY214" s="181"/>
      <c r="LMZ214" s="181"/>
      <c r="LNA214" s="181"/>
      <c r="LNB214" s="181"/>
      <c r="LNC214" s="181"/>
      <c r="LND214" s="181"/>
      <c r="LNE214" s="181"/>
      <c r="LNF214" s="181"/>
      <c r="LNG214" s="181"/>
      <c r="LNH214" s="181"/>
      <c r="LNI214" s="181"/>
      <c r="LNJ214" s="181"/>
      <c r="LNK214" s="181"/>
      <c r="LNL214" s="181"/>
      <c r="LNM214" s="181"/>
      <c r="LNN214" s="181"/>
      <c r="LNO214" s="181"/>
      <c r="LNP214" s="181"/>
      <c r="LNQ214" s="181"/>
      <c r="LNR214" s="181"/>
      <c r="LNS214" s="181"/>
      <c r="LNT214" s="181"/>
      <c r="LNU214" s="181"/>
      <c r="LNV214" s="181"/>
      <c r="LNW214" s="181"/>
      <c r="LNX214" s="181"/>
      <c r="LNY214" s="181"/>
      <c r="LNZ214" s="181"/>
      <c r="LOA214" s="181"/>
      <c r="LOB214" s="181"/>
      <c r="LOC214" s="181"/>
      <c r="LOD214" s="181"/>
      <c r="LOE214" s="181"/>
      <c r="LOF214" s="181"/>
      <c r="LOG214" s="181"/>
      <c r="LOH214" s="181"/>
      <c r="LOI214" s="181"/>
      <c r="LOJ214" s="181"/>
      <c r="LOK214" s="181"/>
      <c r="LOL214" s="181"/>
      <c r="LOM214" s="181"/>
      <c r="LON214" s="181"/>
      <c r="LOO214" s="181"/>
      <c r="LOP214" s="181"/>
      <c r="LOQ214" s="181"/>
      <c r="LOR214" s="181"/>
      <c r="LOS214" s="181"/>
      <c r="LOT214" s="181"/>
      <c r="LOU214" s="181"/>
      <c r="LOV214" s="181"/>
      <c r="LOW214" s="181"/>
      <c r="LOX214" s="181"/>
      <c r="LOY214" s="181"/>
      <c r="LOZ214" s="181"/>
      <c r="LPA214" s="181"/>
      <c r="LPB214" s="181"/>
      <c r="LPC214" s="181"/>
      <c r="LPD214" s="181"/>
      <c r="LPE214" s="181"/>
      <c r="LPF214" s="181"/>
      <c r="LPG214" s="181"/>
      <c r="LPH214" s="181"/>
      <c r="LPI214" s="181"/>
      <c r="LPJ214" s="181"/>
      <c r="LPK214" s="181"/>
      <c r="LPL214" s="181"/>
      <c r="LPM214" s="181"/>
      <c r="LPN214" s="181"/>
      <c r="LPO214" s="181"/>
      <c r="LPP214" s="181"/>
      <c r="LPQ214" s="181"/>
      <c r="LPR214" s="181"/>
      <c r="LPS214" s="181"/>
      <c r="LPT214" s="181"/>
      <c r="LPU214" s="181"/>
      <c r="LPV214" s="181"/>
      <c r="LPW214" s="181"/>
      <c r="LPX214" s="181"/>
      <c r="LPY214" s="181"/>
      <c r="LPZ214" s="181"/>
      <c r="LQA214" s="181"/>
      <c r="LQB214" s="181"/>
      <c r="LQC214" s="181"/>
      <c r="LQD214" s="181"/>
      <c r="LQE214" s="181"/>
      <c r="LQF214" s="181"/>
      <c r="LQG214" s="181"/>
      <c r="LQH214" s="181"/>
      <c r="LQI214" s="181"/>
      <c r="LQJ214" s="181"/>
      <c r="LQK214" s="181"/>
      <c r="LQL214" s="181"/>
      <c r="LQM214" s="181"/>
      <c r="LQN214" s="181"/>
      <c r="LQO214" s="181"/>
      <c r="LQP214" s="181"/>
      <c r="LQQ214" s="181"/>
      <c r="LQR214" s="181"/>
      <c r="LQS214" s="181"/>
      <c r="LQT214" s="181"/>
      <c r="LQU214" s="181"/>
      <c r="LQV214" s="181"/>
      <c r="LQW214" s="181"/>
      <c r="LQX214" s="181"/>
      <c r="LQY214" s="181"/>
      <c r="LQZ214" s="181"/>
      <c r="LRA214" s="181"/>
      <c r="LRB214" s="181"/>
      <c r="LRC214" s="181"/>
      <c r="LRD214" s="181"/>
      <c r="LRE214" s="181"/>
      <c r="LRF214" s="181"/>
      <c r="LRG214" s="181"/>
      <c r="LRH214" s="181"/>
      <c r="LRI214" s="181"/>
      <c r="LRJ214" s="181"/>
      <c r="LRK214" s="181"/>
      <c r="LRL214" s="181"/>
      <c r="LRM214" s="181"/>
      <c r="LRN214" s="181"/>
      <c r="LRO214" s="181"/>
      <c r="LRP214" s="181"/>
      <c r="LRQ214" s="181"/>
      <c r="LRR214" s="181"/>
      <c r="LRS214" s="181"/>
      <c r="LRT214" s="181"/>
      <c r="LRU214" s="181"/>
      <c r="LRV214" s="181"/>
      <c r="LRW214" s="181"/>
      <c r="LRX214" s="181"/>
      <c r="LRY214" s="181"/>
      <c r="LRZ214" s="181"/>
      <c r="LSA214" s="181"/>
      <c r="LSB214" s="181"/>
      <c r="LSC214" s="181"/>
      <c r="LSD214" s="181"/>
      <c r="LSE214" s="181"/>
      <c r="LSF214" s="181"/>
      <c r="LSG214" s="181"/>
      <c r="LSH214" s="181"/>
      <c r="LSI214" s="181"/>
      <c r="LSJ214" s="181"/>
      <c r="LSK214" s="181"/>
      <c r="LSL214" s="181"/>
      <c r="LSM214" s="181"/>
      <c r="LSN214" s="181"/>
      <c r="LSO214" s="181"/>
      <c r="LSP214" s="181"/>
      <c r="LSQ214" s="181"/>
      <c r="LSR214" s="181"/>
      <c r="LSS214" s="181"/>
      <c r="LST214" s="181"/>
      <c r="LSU214" s="181"/>
      <c r="LSV214" s="181"/>
      <c r="LSW214" s="181"/>
      <c r="LSX214" s="181"/>
      <c r="LSY214" s="181"/>
      <c r="LSZ214" s="181"/>
      <c r="LTA214" s="181"/>
      <c r="LTB214" s="181"/>
      <c r="LTC214" s="181"/>
      <c r="LTD214" s="181"/>
      <c r="LTE214" s="181"/>
      <c r="LTF214" s="181"/>
      <c r="LTG214" s="181"/>
      <c r="LTH214" s="181"/>
      <c r="LTI214" s="181"/>
      <c r="LTJ214" s="181"/>
      <c r="LTK214" s="181"/>
      <c r="LTL214" s="181"/>
      <c r="LTM214" s="181"/>
      <c r="LTN214" s="181"/>
      <c r="LTO214" s="181"/>
      <c r="LTP214" s="181"/>
      <c r="LTQ214" s="181"/>
      <c r="LTR214" s="181"/>
      <c r="LTS214" s="181"/>
      <c r="LTT214" s="181"/>
      <c r="LTU214" s="181"/>
      <c r="LTV214" s="181"/>
      <c r="LTW214" s="181"/>
      <c r="LTX214" s="181"/>
      <c r="LTY214" s="181"/>
      <c r="LTZ214" s="181"/>
      <c r="LUA214" s="181"/>
      <c r="LUB214" s="181"/>
      <c r="LUC214" s="181"/>
      <c r="LUD214" s="181"/>
      <c r="LUE214" s="181"/>
      <c r="LUF214" s="181"/>
      <c r="LUG214" s="181"/>
      <c r="LUH214" s="181"/>
      <c r="LUI214" s="181"/>
      <c r="LUJ214" s="181"/>
      <c r="LUK214" s="181"/>
      <c r="LUL214" s="181"/>
      <c r="LUM214" s="181"/>
      <c r="LUN214" s="181"/>
      <c r="LUO214" s="181"/>
      <c r="LUP214" s="181"/>
      <c r="LUQ214" s="181"/>
      <c r="LUR214" s="181"/>
      <c r="LUS214" s="181"/>
      <c r="LUT214" s="181"/>
      <c r="LUU214" s="181"/>
      <c r="LUV214" s="181"/>
      <c r="LUW214" s="181"/>
      <c r="LUX214" s="181"/>
      <c r="LUY214" s="181"/>
      <c r="LUZ214" s="181"/>
      <c r="LVA214" s="181"/>
      <c r="LVB214" s="181"/>
      <c r="LVC214" s="181"/>
      <c r="LVD214" s="181"/>
      <c r="LVE214" s="181"/>
      <c r="LVF214" s="181"/>
      <c r="LVG214" s="181"/>
      <c r="LVH214" s="181"/>
      <c r="LVI214" s="181"/>
      <c r="LVJ214" s="181"/>
      <c r="LVK214" s="181"/>
      <c r="LVL214" s="181"/>
      <c r="LVM214" s="181"/>
      <c r="LVN214" s="181"/>
      <c r="LVO214" s="181"/>
      <c r="LVP214" s="181"/>
      <c r="LVQ214" s="181"/>
      <c r="LVR214" s="181"/>
      <c r="LVS214" s="181"/>
      <c r="LVT214" s="181"/>
      <c r="LVU214" s="181"/>
      <c r="LVV214" s="181"/>
      <c r="LVW214" s="181"/>
      <c r="LVX214" s="181"/>
      <c r="LVY214" s="181"/>
      <c r="LVZ214" s="181"/>
      <c r="LWA214" s="181"/>
      <c r="LWB214" s="181"/>
      <c r="LWC214" s="181"/>
      <c r="LWD214" s="181"/>
      <c r="LWE214" s="181"/>
      <c r="LWF214" s="181"/>
      <c r="LWG214" s="181"/>
      <c r="LWH214" s="181"/>
      <c r="LWI214" s="181"/>
      <c r="LWJ214" s="181"/>
      <c r="LWK214" s="181"/>
      <c r="LWL214" s="181"/>
      <c r="LWM214" s="181"/>
      <c r="LWN214" s="181"/>
      <c r="LWO214" s="181"/>
      <c r="LWP214" s="181"/>
      <c r="LWQ214" s="181"/>
      <c r="LWR214" s="181"/>
      <c r="LWS214" s="181"/>
      <c r="LWT214" s="181"/>
      <c r="LWU214" s="181"/>
      <c r="LWV214" s="181"/>
      <c r="LWW214" s="181"/>
      <c r="LWX214" s="181"/>
      <c r="LWY214" s="181"/>
      <c r="LWZ214" s="181"/>
      <c r="LXA214" s="181"/>
      <c r="LXB214" s="181"/>
      <c r="LXC214" s="181"/>
      <c r="LXD214" s="181"/>
      <c r="LXE214" s="181"/>
      <c r="LXF214" s="181"/>
      <c r="LXG214" s="181"/>
      <c r="LXH214" s="181"/>
      <c r="LXI214" s="181"/>
      <c r="LXJ214" s="181"/>
      <c r="LXK214" s="181"/>
      <c r="LXL214" s="181"/>
      <c r="LXM214" s="181"/>
      <c r="LXN214" s="181"/>
      <c r="LXO214" s="181"/>
      <c r="LXP214" s="181"/>
      <c r="LXQ214" s="181"/>
      <c r="LXR214" s="181"/>
      <c r="LXS214" s="181"/>
      <c r="LXT214" s="181"/>
      <c r="LXU214" s="181"/>
      <c r="LXV214" s="181"/>
      <c r="LXW214" s="181"/>
      <c r="LXX214" s="181"/>
      <c r="LXY214" s="181"/>
      <c r="LXZ214" s="181"/>
      <c r="LYA214" s="181"/>
      <c r="LYB214" s="181"/>
      <c r="LYC214" s="181"/>
      <c r="LYD214" s="181"/>
      <c r="LYE214" s="181"/>
      <c r="LYF214" s="181"/>
      <c r="LYG214" s="181"/>
      <c r="LYH214" s="181"/>
      <c r="LYI214" s="181"/>
      <c r="LYJ214" s="181"/>
      <c r="LYK214" s="181"/>
      <c r="LYL214" s="181"/>
      <c r="LYM214" s="181"/>
      <c r="LYN214" s="181"/>
      <c r="LYO214" s="181"/>
      <c r="LYP214" s="181"/>
      <c r="LYQ214" s="181"/>
      <c r="LYR214" s="181"/>
      <c r="LYS214" s="181"/>
      <c r="LYT214" s="181"/>
      <c r="LYU214" s="181"/>
      <c r="LYV214" s="181"/>
      <c r="LYW214" s="181"/>
      <c r="LYX214" s="181"/>
      <c r="LYY214" s="181"/>
      <c r="LYZ214" s="181"/>
      <c r="LZA214" s="181"/>
      <c r="LZB214" s="181"/>
      <c r="LZC214" s="181"/>
      <c r="LZD214" s="181"/>
      <c r="LZE214" s="181"/>
      <c r="LZF214" s="181"/>
      <c r="LZG214" s="181"/>
      <c r="LZH214" s="181"/>
      <c r="LZI214" s="181"/>
      <c r="LZJ214" s="181"/>
      <c r="LZK214" s="181"/>
      <c r="LZL214" s="181"/>
      <c r="LZM214" s="181"/>
      <c r="LZN214" s="181"/>
      <c r="LZO214" s="181"/>
      <c r="LZP214" s="181"/>
      <c r="LZQ214" s="181"/>
      <c r="LZR214" s="181"/>
      <c r="LZS214" s="181"/>
      <c r="LZT214" s="181"/>
      <c r="LZU214" s="181"/>
      <c r="LZV214" s="181"/>
      <c r="LZW214" s="181"/>
      <c r="LZX214" s="181"/>
      <c r="LZY214" s="181"/>
      <c r="LZZ214" s="181"/>
      <c r="MAA214" s="181"/>
      <c r="MAB214" s="181"/>
      <c r="MAC214" s="181"/>
      <c r="MAD214" s="181"/>
      <c r="MAE214" s="181"/>
      <c r="MAF214" s="181"/>
      <c r="MAG214" s="181"/>
      <c r="MAH214" s="181"/>
      <c r="MAI214" s="181"/>
      <c r="MAJ214" s="181"/>
      <c r="MAK214" s="181"/>
      <c r="MAL214" s="181"/>
      <c r="MAM214" s="181"/>
      <c r="MAN214" s="181"/>
      <c r="MAO214" s="181"/>
      <c r="MAP214" s="181"/>
      <c r="MAQ214" s="181"/>
      <c r="MAR214" s="181"/>
      <c r="MAS214" s="181"/>
      <c r="MAT214" s="181"/>
      <c r="MAU214" s="181"/>
      <c r="MAV214" s="181"/>
      <c r="MAW214" s="181"/>
      <c r="MAX214" s="181"/>
      <c r="MAY214" s="181"/>
      <c r="MAZ214" s="181"/>
      <c r="MBA214" s="181"/>
      <c r="MBB214" s="181"/>
      <c r="MBC214" s="181"/>
      <c r="MBD214" s="181"/>
      <c r="MBE214" s="181"/>
      <c r="MBF214" s="181"/>
      <c r="MBG214" s="181"/>
      <c r="MBH214" s="181"/>
      <c r="MBI214" s="181"/>
      <c r="MBJ214" s="181"/>
      <c r="MBK214" s="181"/>
      <c r="MBL214" s="181"/>
      <c r="MBM214" s="181"/>
      <c r="MBN214" s="181"/>
      <c r="MBO214" s="181"/>
      <c r="MBP214" s="181"/>
      <c r="MBQ214" s="181"/>
      <c r="MBR214" s="181"/>
      <c r="MBS214" s="181"/>
      <c r="MBT214" s="181"/>
      <c r="MBU214" s="181"/>
      <c r="MBV214" s="181"/>
      <c r="MBW214" s="181"/>
      <c r="MBX214" s="181"/>
      <c r="MBY214" s="181"/>
      <c r="MBZ214" s="181"/>
      <c r="MCA214" s="181"/>
      <c r="MCB214" s="181"/>
      <c r="MCC214" s="181"/>
      <c r="MCD214" s="181"/>
      <c r="MCE214" s="181"/>
      <c r="MCF214" s="181"/>
      <c r="MCG214" s="181"/>
      <c r="MCH214" s="181"/>
      <c r="MCI214" s="181"/>
      <c r="MCJ214" s="181"/>
      <c r="MCK214" s="181"/>
      <c r="MCL214" s="181"/>
      <c r="MCM214" s="181"/>
      <c r="MCN214" s="181"/>
      <c r="MCO214" s="181"/>
      <c r="MCP214" s="181"/>
      <c r="MCQ214" s="181"/>
      <c r="MCR214" s="181"/>
      <c r="MCS214" s="181"/>
      <c r="MCT214" s="181"/>
      <c r="MCU214" s="181"/>
      <c r="MCV214" s="181"/>
      <c r="MCW214" s="181"/>
      <c r="MCX214" s="181"/>
      <c r="MCY214" s="181"/>
      <c r="MCZ214" s="181"/>
      <c r="MDA214" s="181"/>
      <c r="MDB214" s="181"/>
      <c r="MDC214" s="181"/>
      <c r="MDD214" s="181"/>
      <c r="MDE214" s="181"/>
      <c r="MDF214" s="181"/>
      <c r="MDG214" s="181"/>
      <c r="MDH214" s="181"/>
      <c r="MDI214" s="181"/>
      <c r="MDJ214" s="181"/>
      <c r="MDK214" s="181"/>
      <c r="MDL214" s="181"/>
      <c r="MDM214" s="181"/>
      <c r="MDN214" s="181"/>
      <c r="MDO214" s="181"/>
      <c r="MDP214" s="181"/>
      <c r="MDQ214" s="181"/>
      <c r="MDR214" s="181"/>
      <c r="MDS214" s="181"/>
      <c r="MDT214" s="181"/>
      <c r="MDU214" s="181"/>
      <c r="MDV214" s="181"/>
      <c r="MDW214" s="181"/>
      <c r="MDX214" s="181"/>
      <c r="MDY214" s="181"/>
      <c r="MDZ214" s="181"/>
      <c r="MEA214" s="181"/>
      <c r="MEB214" s="181"/>
      <c r="MEC214" s="181"/>
      <c r="MED214" s="181"/>
      <c r="MEE214" s="181"/>
      <c r="MEF214" s="181"/>
      <c r="MEG214" s="181"/>
      <c r="MEH214" s="181"/>
      <c r="MEI214" s="181"/>
      <c r="MEJ214" s="181"/>
      <c r="MEK214" s="181"/>
      <c r="MEL214" s="181"/>
      <c r="MEM214" s="181"/>
      <c r="MEN214" s="181"/>
      <c r="MEO214" s="181"/>
      <c r="MEP214" s="181"/>
      <c r="MEQ214" s="181"/>
      <c r="MER214" s="181"/>
      <c r="MES214" s="181"/>
      <c r="MET214" s="181"/>
      <c r="MEU214" s="181"/>
      <c r="MEV214" s="181"/>
      <c r="MEW214" s="181"/>
      <c r="MEX214" s="181"/>
      <c r="MEY214" s="181"/>
      <c r="MEZ214" s="181"/>
      <c r="MFA214" s="181"/>
      <c r="MFB214" s="181"/>
      <c r="MFC214" s="181"/>
      <c r="MFD214" s="181"/>
      <c r="MFE214" s="181"/>
      <c r="MFF214" s="181"/>
      <c r="MFG214" s="181"/>
      <c r="MFH214" s="181"/>
      <c r="MFI214" s="181"/>
      <c r="MFJ214" s="181"/>
      <c r="MFK214" s="181"/>
      <c r="MFL214" s="181"/>
      <c r="MFM214" s="181"/>
      <c r="MFN214" s="181"/>
      <c r="MFO214" s="181"/>
      <c r="MFP214" s="181"/>
      <c r="MFQ214" s="181"/>
      <c r="MFR214" s="181"/>
      <c r="MFS214" s="181"/>
      <c r="MFT214" s="181"/>
      <c r="MFU214" s="181"/>
      <c r="MFV214" s="181"/>
      <c r="MFW214" s="181"/>
      <c r="MFX214" s="181"/>
      <c r="MFY214" s="181"/>
      <c r="MFZ214" s="181"/>
      <c r="MGA214" s="181"/>
      <c r="MGB214" s="181"/>
      <c r="MGC214" s="181"/>
      <c r="MGD214" s="181"/>
      <c r="MGE214" s="181"/>
      <c r="MGF214" s="181"/>
      <c r="MGG214" s="181"/>
      <c r="MGH214" s="181"/>
      <c r="MGI214" s="181"/>
      <c r="MGJ214" s="181"/>
      <c r="MGK214" s="181"/>
      <c r="MGL214" s="181"/>
      <c r="MGM214" s="181"/>
      <c r="MGN214" s="181"/>
      <c r="MGO214" s="181"/>
      <c r="MGP214" s="181"/>
      <c r="MGQ214" s="181"/>
      <c r="MGR214" s="181"/>
      <c r="MGS214" s="181"/>
      <c r="MGT214" s="181"/>
      <c r="MGU214" s="181"/>
      <c r="MGV214" s="181"/>
      <c r="MGW214" s="181"/>
      <c r="MGX214" s="181"/>
      <c r="MGY214" s="181"/>
      <c r="MGZ214" s="181"/>
      <c r="MHA214" s="181"/>
      <c r="MHB214" s="181"/>
      <c r="MHC214" s="181"/>
      <c r="MHD214" s="181"/>
      <c r="MHE214" s="181"/>
      <c r="MHF214" s="181"/>
      <c r="MHG214" s="181"/>
      <c r="MHH214" s="181"/>
      <c r="MHI214" s="181"/>
      <c r="MHJ214" s="181"/>
      <c r="MHK214" s="181"/>
      <c r="MHL214" s="181"/>
      <c r="MHM214" s="181"/>
      <c r="MHN214" s="181"/>
      <c r="MHO214" s="181"/>
      <c r="MHP214" s="181"/>
      <c r="MHQ214" s="181"/>
      <c r="MHR214" s="181"/>
      <c r="MHS214" s="181"/>
      <c r="MHT214" s="181"/>
      <c r="MHU214" s="181"/>
      <c r="MHV214" s="181"/>
      <c r="MHW214" s="181"/>
      <c r="MHX214" s="181"/>
      <c r="MHY214" s="181"/>
      <c r="MHZ214" s="181"/>
      <c r="MIA214" s="181"/>
      <c r="MIB214" s="181"/>
      <c r="MIC214" s="181"/>
      <c r="MID214" s="181"/>
      <c r="MIE214" s="181"/>
      <c r="MIF214" s="181"/>
      <c r="MIG214" s="181"/>
      <c r="MIH214" s="181"/>
      <c r="MII214" s="181"/>
      <c r="MIJ214" s="181"/>
      <c r="MIK214" s="181"/>
      <c r="MIL214" s="181"/>
      <c r="MIM214" s="181"/>
      <c r="MIN214" s="181"/>
      <c r="MIO214" s="181"/>
      <c r="MIP214" s="181"/>
      <c r="MIQ214" s="181"/>
      <c r="MIR214" s="181"/>
      <c r="MIS214" s="181"/>
      <c r="MIT214" s="181"/>
      <c r="MIU214" s="181"/>
      <c r="MIV214" s="181"/>
      <c r="MIW214" s="181"/>
      <c r="MIX214" s="181"/>
      <c r="MIY214" s="181"/>
      <c r="MIZ214" s="181"/>
      <c r="MJA214" s="181"/>
      <c r="MJB214" s="181"/>
      <c r="MJC214" s="181"/>
      <c r="MJD214" s="181"/>
      <c r="MJE214" s="181"/>
      <c r="MJF214" s="181"/>
      <c r="MJG214" s="181"/>
      <c r="MJH214" s="181"/>
      <c r="MJI214" s="181"/>
      <c r="MJJ214" s="181"/>
      <c r="MJK214" s="181"/>
      <c r="MJL214" s="181"/>
      <c r="MJM214" s="181"/>
      <c r="MJN214" s="181"/>
      <c r="MJO214" s="181"/>
      <c r="MJP214" s="181"/>
      <c r="MJQ214" s="181"/>
      <c r="MJR214" s="181"/>
      <c r="MJS214" s="181"/>
      <c r="MJT214" s="181"/>
      <c r="MJU214" s="181"/>
      <c r="MJV214" s="181"/>
      <c r="MJW214" s="181"/>
      <c r="MJX214" s="181"/>
      <c r="MJY214" s="181"/>
      <c r="MJZ214" s="181"/>
      <c r="MKA214" s="181"/>
      <c r="MKB214" s="181"/>
      <c r="MKC214" s="181"/>
      <c r="MKD214" s="181"/>
      <c r="MKE214" s="181"/>
      <c r="MKF214" s="181"/>
      <c r="MKG214" s="181"/>
      <c r="MKH214" s="181"/>
      <c r="MKI214" s="181"/>
      <c r="MKJ214" s="181"/>
      <c r="MKK214" s="181"/>
      <c r="MKL214" s="181"/>
      <c r="MKM214" s="181"/>
      <c r="MKN214" s="181"/>
      <c r="MKO214" s="181"/>
      <c r="MKP214" s="181"/>
      <c r="MKQ214" s="181"/>
      <c r="MKR214" s="181"/>
      <c r="MKS214" s="181"/>
      <c r="MKT214" s="181"/>
      <c r="MKU214" s="181"/>
      <c r="MKV214" s="181"/>
      <c r="MKW214" s="181"/>
      <c r="MKX214" s="181"/>
      <c r="MKY214" s="181"/>
      <c r="MKZ214" s="181"/>
      <c r="MLA214" s="181"/>
      <c r="MLB214" s="181"/>
      <c r="MLC214" s="181"/>
      <c r="MLD214" s="181"/>
      <c r="MLE214" s="181"/>
      <c r="MLF214" s="181"/>
      <c r="MLG214" s="181"/>
      <c r="MLH214" s="181"/>
      <c r="MLI214" s="181"/>
      <c r="MLJ214" s="181"/>
      <c r="MLK214" s="181"/>
      <c r="MLL214" s="181"/>
      <c r="MLM214" s="181"/>
      <c r="MLN214" s="181"/>
      <c r="MLO214" s="181"/>
      <c r="MLP214" s="181"/>
      <c r="MLQ214" s="181"/>
      <c r="MLR214" s="181"/>
      <c r="MLS214" s="181"/>
      <c r="MLT214" s="181"/>
      <c r="MLU214" s="181"/>
      <c r="MLV214" s="181"/>
      <c r="MLW214" s="181"/>
      <c r="MLX214" s="181"/>
      <c r="MLY214" s="181"/>
      <c r="MLZ214" s="181"/>
      <c r="MMA214" s="181"/>
      <c r="MMB214" s="181"/>
      <c r="MMC214" s="181"/>
      <c r="MMD214" s="181"/>
      <c r="MME214" s="181"/>
      <c r="MMF214" s="181"/>
      <c r="MMG214" s="181"/>
      <c r="MMH214" s="181"/>
      <c r="MMI214" s="181"/>
      <c r="MMJ214" s="181"/>
      <c r="MMK214" s="181"/>
      <c r="MML214" s="181"/>
      <c r="MMM214" s="181"/>
      <c r="MMN214" s="181"/>
      <c r="MMO214" s="181"/>
      <c r="MMP214" s="181"/>
      <c r="MMQ214" s="181"/>
      <c r="MMR214" s="181"/>
      <c r="MMS214" s="181"/>
      <c r="MMT214" s="181"/>
      <c r="MMU214" s="181"/>
      <c r="MMV214" s="181"/>
      <c r="MMW214" s="181"/>
      <c r="MMX214" s="181"/>
      <c r="MMY214" s="181"/>
      <c r="MMZ214" s="181"/>
      <c r="MNA214" s="181"/>
      <c r="MNB214" s="181"/>
      <c r="MNC214" s="181"/>
      <c r="MND214" s="181"/>
      <c r="MNE214" s="181"/>
      <c r="MNF214" s="181"/>
      <c r="MNG214" s="181"/>
      <c r="MNH214" s="181"/>
      <c r="MNI214" s="181"/>
      <c r="MNJ214" s="181"/>
      <c r="MNK214" s="181"/>
      <c r="MNL214" s="181"/>
      <c r="MNM214" s="181"/>
      <c r="MNN214" s="181"/>
      <c r="MNO214" s="181"/>
      <c r="MNP214" s="181"/>
      <c r="MNQ214" s="181"/>
      <c r="MNR214" s="181"/>
      <c r="MNS214" s="181"/>
      <c r="MNT214" s="181"/>
      <c r="MNU214" s="181"/>
      <c r="MNV214" s="181"/>
      <c r="MNW214" s="181"/>
      <c r="MNX214" s="181"/>
      <c r="MNY214" s="181"/>
      <c r="MNZ214" s="181"/>
      <c r="MOA214" s="181"/>
      <c r="MOB214" s="181"/>
      <c r="MOC214" s="181"/>
      <c r="MOD214" s="181"/>
      <c r="MOE214" s="181"/>
      <c r="MOF214" s="181"/>
      <c r="MOG214" s="181"/>
      <c r="MOH214" s="181"/>
      <c r="MOI214" s="181"/>
      <c r="MOJ214" s="181"/>
      <c r="MOK214" s="181"/>
      <c r="MOL214" s="181"/>
      <c r="MOM214" s="181"/>
      <c r="MON214" s="181"/>
      <c r="MOO214" s="181"/>
      <c r="MOP214" s="181"/>
      <c r="MOQ214" s="181"/>
      <c r="MOR214" s="181"/>
      <c r="MOS214" s="181"/>
      <c r="MOT214" s="181"/>
      <c r="MOU214" s="181"/>
      <c r="MOV214" s="181"/>
      <c r="MOW214" s="181"/>
      <c r="MOX214" s="181"/>
      <c r="MOY214" s="181"/>
      <c r="MOZ214" s="181"/>
      <c r="MPA214" s="181"/>
      <c r="MPB214" s="181"/>
      <c r="MPC214" s="181"/>
      <c r="MPD214" s="181"/>
      <c r="MPE214" s="181"/>
      <c r="MPF214" s="181"/>
      <c r="MPG214" s="181"/>
      <c r="MPH214" s="181"/>
      <c r="MPI214" s="181"/>
      <c r="MPJ214" s="181"/>
      <c r="MPK214" s="181"/>
      <c r="MPL214" s="181"/>
      <c r="MPM214" s="181"/>
      <c r="MPN214" s="181"/>
      <c r="MPO214" s="181"/>
      <c r="MPP214" s="181"/>
      <c r="MPQ214" s="181"/>
      <c r="MPR214" s="181"/>
      <c r="MPS214" s="181"/>
      <c r="MPT214" s="181"/>
      <c r="MPU214" s="181"/>
      <c r="MPV214" s="181"/>
      <c r="MPW214" s="181"/>
      <c r="MPX214" s="181"/>
      <c r="MPY214" s="181"/>
      <c r="MPZ214" s="181"/>
      <c r="MQA214" s="181"/>
      <c r="MQB214" s="181"/>
      <c r="MQC214" s="181"/>
      <c r="MQD214" s="181"/>
      <c r="MQE214" s="181"/>
      <c r="MQF214" s="181"/>
      <c r="MQG214" s="181"/>
      <c r="MQH214" s="181"/>
      <c r="MQI214" s="181"/>
      <c r="MQJ214" s="181"/>
      <c r="MQK214" s="181"/>
      <c r="MQL214" s="181"/>
      <c r="MQM214" s="181"/>
      <c r="MQN214" s="181"/>
      <c r="MQO214" s="181"/>
      <c r="MQP214" s="181"/>
      <c r="MQQ214" s="181"/>
      <c r="MQR214" s="181"/>
      <c r="MQS214" s="181"/>
      <c r="MQT214" s="181"/>
      <c r="MQU214" s="181"/>
      <c r="MQV214" s="181"/>
      <c r="MQW214" s="181"/>
      <c r="MQX214" s="181"/>
      <c r="MQY214" s="181"/>
      <c r="MQZ214" s="181"/>
      <c r="MRA214" s="181"/>
      <c r="MRB214" s="181"/>
      <c r="MRC214" s="181"/>
      <c r="MRD214" s="181"/>
      <c r="MRE214" s="181"/>
      <c r="MRF214" s="181"/>
      <c r="MRG214" s="181"/>
      <c r="MRH214" s="181"/>
      <c r="MRI214" s="181"/>
      <c r="MRJ214" s="181"/>
      <c r="MRK214" s="181"/>
      <c r="MRL214" s="181"/>
      <c r="MRM214" s="181"/>
      <c r="MRN214" s="181"/>
      <c r="MRO214" s="181"/>
      <c r="MRP214" s="181"/>
      <c r="MRQ214" s="181"/>
      <c r="MRR214" s="181"/>
      <c r="MRS214" s="181"/>
      <c r="MRT214" s="181"/>
      <c r="MRU214" s="181"/>
      <c r="MRV214" s="181"/>
      <c r="MRW214" s="181"/>
      <c r="MRX214" s="181"/>
      <c r="MRY214" s="181"/>
      <c r="MRZ214" s="181"/>
      <c r="MSA214" s="181"/>
      <c r="MSB214" s="181"/>
      <c r="MSC214" s="181"/>
      <c r="MSD214" s="181"/>
      <c r="MSE214" s="181"/>
      <c r="MSF214" s="181"/>
      <c r="MSG214" s="181"/>
      <c r="MSH214" s="181"/>
      <c r="MSI214" s="181"/>
      <c r="MSJ214" s="181"/>
      <c r="MSK214" s="181"/>
      <c r="MSL214" s="181"/>
      <c r="MSM214" s="181"/>
      <c r="MSN214" s="181"/>
      <c r="MSO214" s="181"/>
      <c r="MSP214" s="181"/>
      <c r="MSQ214" s="181"/>
      <c r="MSR214" s="181"/>
      <c r="MSS214" s="181"/>
      <c r="MST214" s="181"/>
      <c r="MSU214" s="181"/>
      <c r="MSV214" s="181"/>
      <c r="MSW214" s="181"/>
      <c r="MSX214" s="181"/>
      <c r="MSY214" s="181"/>
      <c r="MSZ214" s="181"/>
      <c r="MTA214" s="181"/>
      <c r="MTB214" s="181"/>
      <c r="MTC214" s="181"/>
      <c r="MTD214" s="181"/>
      <c r="MTE214" s="181"/>
      <c r="MTF214" s="181"/>
      <c r="MTG214" s="181"/>
      <c r="MTH214" s="181"/>
      <c r="MTI214" s="181"/>
      <c r="MTJ214" s="181"/>
      <c r="MTK214" s="181"/>
      <c r="MTL214" s="181"/>
      <c r="MTM214" s="181"/>
      <c r="MTN214" s="181"/>
      <c r="MTO214" s="181"/>
      <c r="MTP214" s="181"/>
      <c r="MTQ214" s="181"/>
      <c r="MTR214" s="181"/>
      <c r="MTS214" s="181"/>
      <c r="MTT214" s="181"/>
      <c r="MTU214" s="181"/>
      <c r="MTV214" s="181"/>
      <c r="MTW214" s="181"/>
      <c r="MTX214" s="181"/>
      <c r="MTY214" s="181"/>
      <c r="MTZ214" s="181"/>
      <c r="MUA214" s="181"/>
      <c r="MUB214" s="181"/>
      <c r="MUC214" s="181"/>
      <c r="MUD214" s="181"/>
      <c r="MUE214" s="181"/>
      <c r="MUF214" s="181"/>
      <c r="MUG214" s="181"/>
      <c r="MUH214" s="181"/>
      <c r="MUI214" s="181"/>
      <c r="MUJ214" s="181"/>
      <c r="MUK214" s="181"/>
      <c r="MUL214" s="181"/>
      <c r="MUM214" s="181"/>
      <c r="MUN214" s="181"/>
      <c r="MUO214" s="181"/>
      <c r="MUP214" s="181"/>
      <c r="MUQ214" s="181"/>
      <c r="MUR214" s="181"/>
      <c r="MUS214" s="181"/>
      <c r="MUT214" s="181"/>
      <c r="MUU214" s="181"/>
      <c r="MUV214" s="181"/>
      <c r="MUW214" s="181"/>
      <c r="MUX214" s="181"/>
      <c r="MUY214" s="181"/>
      <c r="MUZ214" s="181"/>
      <c r="MVA214" s="181"/>
      <c r="MVB214" s="181"/>
      <c r="MVC214" s="181"/>
      <c r="MVD214" s="181"/>
      <c r="MVE214" s="181"/>
      <c r="MVF214" s="181"/>
      <c r="MVG214" s="181"/>
      <c r="MVH214" s="181"/>
      <c r="MVI214" s="181"/>
      <c r="MVJ214" s="181"/>
      <c r="MVK214" s="181"/>
      <c r="MVL214" s="181"/>
      <c r="MVM214" s="181"/>
      <c r="MVN214" s="181"/>
      <c r="MVO214" s="181"/>
      <c r="MVP214" s="181"/>
      <c r="MVQ214" s="181"/>
      <c r="MVR214" s="181"/>
      <c r="MVS214" s="181"/>
      <c r="MVT214" s="181"/>
      <c r="MVU214" s="181"/>
      <c r="MVV214" s="181"/>
      <c r="MVW214" s="181"/>
      <c r="MVX214" s="181"/>
      <c r="MVY214" s="181"/>
      <c r="MVZ214" s="181"/>
      <c r="MWA214" s="181"/>
      <c r="MWB214" s="181"/>
      <c r="MWC214" s="181"/>
      <c r="MWD214" s="181"/>
      <c r="MWE214" s="181"/>
      <c r="MWF214" s="181"/>
      <c r="MWG214" s="181"/>
      <c r="MWH214" s="181"/>
      <c r="MWI214" s="181"/>
      <c r="MWJ214" s="181"/>
      <c r="MWK214" s="181"/>
      <c r="MWL214" s="181"/>
      <c r="MWM214" s="181"/>
      <c r="MWN214" s="181"/>
      <c r="MWO214" s="181"/>
      <c r="MWP214" s="181"/>
      <c r="MWQ214" s="181"/>
      <c r="MWR214" s="181"/>
      <c r="MWS214" s="181"/>
      <c r="MWT214" s="181"/>
      <c r="MWU214" s="181"/>
      <c r="MWV214" s="181"/>
      <c r="MWW214" s="181"/>
      <c r="MWX214" s="181"/>
      <c r="MWY214" s="181"/>
      <c r="MWZ214" s="181"/>
      <c r="MXA214" s="181"/>
      <c r="MXB214" s="181"/>
      <c r="MXC214" s="181"/>
      <c r="MXD214" s="181"/>
      <c r="MXE214" s="181"/>
      <c r="MXF214" s="181"/>
      <c r="MXG214" s="181"/>
      <c r="MXH214" s="181"/>
      <c r="MXI214" s="181"/>
      <c r="MXJ214" s="181"/>
      <c r="MXK214" s="181"/>
      <c r="MXL214" s="181"/>
      <c r="MXM214" s="181"/>
      <c r="MXN214" s="181"/>
      <c r="MXO214" s="181"/>
      <c r="MXP214" s="181"/>
      <c r="MXQ214" s="181"/>
      <c r="MXR214" s="181"/>
      <c r="MXS214" s="181"/>
      <c r="MXT214" s="181"/>
      <c r="MXU214" s="181"/>
      <c r="MXV214" s="181"/>
      <c r="MXW214" s="181"/>
      <c r="MXX214" s="181"/>
      <c r="MXY214" s="181"/>
      <c r="MXZ214" s="181"/>
      <c r="MYA214" s="181"/>
      <c r="MYB214" s="181"/>
      <c r="MYC214" s="181"/>
      <c r="MYD214" s="181"/>
      <c r="MYE214" s="181"/>
      <c r="MYF214" s="181"/>
      <c r="MYG214" s="181"/>
      <c r="MYH214" s="181"/>
      <c r="MYI214" s="181"/>
      <c r="MYJ214" s="181"/>
      <c r="MYK214" s="181"/>
      <c r="MYL214" s="181"/>
      <c r="MYM214" s="181"/>
      <c r="MYN214" s="181"/>
      <c r="MYO214" s="181"/>
      <c r="MYP214" s="181"/>
      <c r="MYQ214" s="181"/>
      <c r="MYR214" s="181"/>
      <c r="MYS214" s="181"/>
      <c r="MYT214" s="181"/>
      <c r="MYU214" s="181"/>
      <c r="MYV214" s="181"/>
      <c r="MYW214" s="181"/>
      <c r="MYX214" s="181"/>
      <c r="MYY214" s="181"/>
      <c r="MYZ214" s="181"/>
      <c r="MZA214" s="181"/>
      <c r="MZB214" s="181"/>
      <c r="MZC214" s="181"/>
      <c r="MZD214" s="181"/>
      <c r="MZE214" s="181"/>
      <c r="MZF214" s="181"/>
      <c r="MZG214" s="181"/>
      <c r="MZH214" s="181"/>
      <c r="MZI214" s="181"/>
      <c r="MZJ214" s="181"/>
      <c r="MZK214" s="181"/>
      <c r="MZL214" s="181"/>
      <c r="MZM214" s="181"/>
      <c r="MZN214" s="181"/>
      <c r="MZO214" s="181"/>
      <c r="MZP214" s="181"/>
      <c r="MZQ214" s="181"/>
      <c r="MZR214" s="181"/>
      <c r="MZS214" s="181"/>
      <c r="MZT214" s="181"/>
      <c r="MZU214" s="181"/>
      <c r="MZV214" s="181"/>
      <c r="MZW214" s="181"/>
      <c r="MZX214" s="181"/>
      <c r="MZY214" s="181"/>
      <c r="MZZ214" s="181"/>
      <c r="NAA214" s="181"/>
      <c r="NAB214" s="181"/>
      <c r="NAC214" s="181"/>
      <c r="NAD214" s="181"/>
      <c r="NAE214" s="181"/>
      <c r="NAF214" s="181"/>
      <c r="NAG214" s="181"/>
      <c r="NAH214" s="181"/>
      <c r="NAI214" s="181"/>
      <c r="NAJ214" s="181"/>
      <c r="NAK214" s="181"/>
      <c r="NAL214" s="181"/>
      <c r="NAM214" s="181"/>
      <c r="NAN214" s="181"/>
      <c r="NAO214" s="181"/>
      <c r="NAP214" s="181"/>
      <c r="NAQ214" s="181"/>
      <c r="NAR214" s="181"/>
      <c r="NAS214" s="181"/>
      <c r="NAT214" s="181"/>
      <c r="NAU214" s="181"/>
      <c r="NAV214" s="181"/>
      <c r="NAW214" s="181"/>
      <c r="NAX214" s="181"/>
      <c r="NAY214" s="181"/>
      <c r="NAZ214" s="181"/>
      <c r="NBA214" s="181"/>
      <c r="NBB214" s="181"/>
      <c r="NBC214" s="181"/>
      <c r="NBD214" s="181"/>
      <c r="NBE214" s="181"/>
      <c r="NBF214" s="181"/>
      <c r="NBG214" s="181"/>
      <c r="NBH214" s="181"/>
      <c r="NBI214" s="181"/>
      <c r="NBJ214" s="181"/>
      <c r="NBK214" s="181"/>
      <c r="NBL214" s="181"/>
      <c r="NBM214" s="181"/>
      <c r="NBN214" s="181"/>
      <c r="NBO214" s="181"/>
      <c r="NBP214" s="181"/>
      <c r="NBQ214" s="181"/>
      <c r="NBR214" s="181"/>
      <c r="NBS214" s="181"/>
      <c r="NBT214" s="181"/>
      <c r="NBU214" s="181"/>
      <c r="NBV214" s="181"/>
      <c r="NBW214" s="181"/>
      <c r="NBX214" s="181"/>
      <c r="NBY214" s="181"/>
      <c r="NBZ214" s="181"/>
      <c r="NCA214" s="181"/>
      <c r="NCB214" s="181"/>
      <c r="NCC214" s="181"/>
      <c r="NCD214" s="181"/>
      <c r="NCE214" s="181"/>
      <c r="NCF214" s="181"/>
      <c r="NCG214" s="181"/>
      <c r="NCH214" s="181"/>
      <c r="NCI214" s="181"/>
      <c r="NCJ214" s="181"/>
      <c r="NCK214" s="181"/>
      <c r="NCL214" s="181"/>
      <c r="NCM214" s="181"/>
      <c r="NCN214" s="181"/>
      <c r="NCO214" s="181"/>
      <c r="NCP214" s="181"/>
      <c r="NCQ214" s="181"/>
      <c r="NCR214" s="181"/>
      <c r="NCS214" s="181"/>
      <c r="NCT214" s="181"/>
      <c r="NCU214" s="181"/>
      <c r="NCV214" s="181"/>
      <c r="NCW214" s="181"/>
      <c r="NCX214" s="181"/>
      <c r="NCY214" s="181"/>
      <c r="NCZ214" s="181"/>
      <c r="NDA214" s="181"/>
      <c r="NDB214" s="181"/>
      <c r="NDC214" s="181"/>
      <c r="NDD214" s="181"/>
      <c r="NDE214" s="181"/>
      <c r="NDF214" s="181"/>
      <c r="NDG214" s="181"/>
      <c r="NDH214" s="181"/>
      <c r="NDI214" s="181"/>
      <c r="NDJ214" s="181"/>
      <c r="NDK214" s="181"/>
      <c r="NDL214" s="181"/>
      <c r="NDM214" s="181"/>
      <c r="NDN214" s="181"/>
      <c r="NDO214" s="181"/>
      <c r="NDP214" s="181"/>
      <c r="NDQ214" s="181"/>
      <c r="NDR214" s="181"/>
      <c r="NDS214" s="181"/>
      <c r="NDT214" s="181"/>
      <c r="NDU214" s="181"/>
      <c r="NDV214" s="181"/>
      <c r="NDW214" s="181"/>
      <c r="NDX214" s="181"/>
      <c r="NDY214" s="181"/>
      <c r="NDZ214" s="181"/>
      <c r="NEA214" s="181"/>
      <c r="NEB214" s="181"/>
      <c r="NEC214" s="181"/>
      <c r="NED214" s="181"/>
      <c r="NEE214" s="181"/>
      <c r="NEF214" s="181"/>
      <c r="NEG214" s="181"/>
      <c r="NEH214" s="181"/>
      <c r="NEI214" s="181"/>
      <c r="NEJ214" s="181"/>
      <c r="NEK214" s="181"/>
      <c r="NEL214" s="181"/>
      <c r="NEM214" s="181"/>
      <c r="NEN214" s="181"/>
      <c r="NEO214" s="181"/>
      <c r="NEP214" s="181"/>
      <c r="NEQ214" s="181"/>
      <c r="NER214" s="181"/>
      <c r="NES214" s="181"/>
      <c r="NET214" s="181"/>
      <c r="NEU214" s="181"/>
      <c r="NEV214" s="181"/>
      <c r="NEW214" s="181"/>
      <c r="NEX214" s="181"/>
      <c r="NEY214" s="181"/>
      <c r="NEZ214" s="181"/>
      <c r="NFA214" s="181"/>
      <c r="NFB214" s="181"/>
      <c r="NFC214" s="181"/>
      <c r="NFD214" s="181"/>
      <c r="NFE214" s="181"/>
      <c r="NFF214" s="181"/>
      <c r="NFG214" s="181"/>
      <c r="NFH214" s="181"/>
      <c r="NFI214" s="181"/>
      <c r="NFJ214" s="181"/>
      <c r="NFK214" s="181"/>
      <c r="NFL214" s="181"/>
      <c r="NFM214" s="181"/>
      <c r="NFN214" s="181"/>
      <c r="NFO214" s="181"/>
      <c r="NFP214" s="181"/>
      <c r="NFQ214" s="181"/>
      <c r="NFR214" s="181"/>
      <c r="NFS214" s="181"/>
      <c r="NFT214" s="181"/>
      <c r="NFU214" s="181"/>
      <c r="NFV214" s="181"/>
      <c r="NFW214" s="181"/>
      <c r="NFX214" s="181"/>
      <c r="NFY214" s="181"/>
      <c r="NFZ214" s="181"/>
      <c r="NGA214" s="181"/>
      <c r="NGB214" s="181"/>
      <c r="NGC214" s="181"/>
      <c r="NGD214" s="181"/>
      <c r="NGE214" s="181"/>
      <c r="NGF214" s="181"/>
      <c r="NGG214" s="181"/>
      <c r="NGH214" s="181"/>
      <c r="NGI214" s="181"/>
      <c r="NGJ214" s="181"/>
      <c r="NGK214" s="181"/>
      <c r="NGL214" s="181"/>
      <c r="NGM214" s="181"/>
      <c r="NGN214" s="181"/>
      <c r="NGO214" s="181"/>
      <c r="NGP214" s="181"/>
      <c r="NGQ214" s="181"/>
      <c r="NGR214" s="181"/>
      <c r="NGS214" s="181"/>
      <c r="NGT214" s="181"/>
      <c r="NGU214" s="181"/>
      <c r="NGV214" s="181"/>
      <c r="NGW214" s="181"/>
      <c r="NGX214" s="181"/>
      <c r="NGY214" s="181"/>
      <c r="NGZ214" s="181"/>
      <c r="NHA214" s="181"/>
      <c r="NHB214" s="181"/>
      <c r="NHC214" s="181"/>
      <c r="NHD214" s="181"/>
      <c r="NHE214" s="181"/>
      <c r="NHF214" s="181"/>
      <c r="NHG214" s="181"/>
      <c r="NHH214" s="181"/>
      <c r="NHI214" s="181"/>
      <c r="NHJ214" s="181"/>
      <c r="NHK214" s="181"/>
      <c r="NHL214" s="181"/>
      <c r="NHM214" s="181"/>
      <c r="NHN214" s="181"/>
      <c r="NHO214" s="181"/>
      <c r="NHP214" s="181"/>
      <c r="NHQ214" s="181"/>
      <c r="NHR214" s="181"/>
      <c r="NHS214" s="181"/>
      <c r="NHT214" s="181"/>
      <c r="NHU214" s="181"/>
      <c r="NHV214" s="181"/>
      <c r="NHW214" s="181"/>
      <c r="NHX214" s="181"/>
      <c r="NHY214" s="181"/>
      <c r="NHZ214" s="181"/>
      <c r="NIA214" s="181"/>
      <c r="NIB214" s="181"/>
      <c r="NIC214" s="181"/>
      <c r="NID214" s="181"/>
      <c r="NIE214" s="181"/>
      <c r="NIF214" s="181"/>
      <c r="NIG214" s="181"/>
      <c r="NIH214" s="181"/>
      <c r="NII214" s="181"/>
      <c r="NIJ214" s="181"/>
      <c r="NIK214" s="181"/>
      <c r="NIL214" s="181"/>
      <c r="NIM214" s="181"/>
      <c r="NIN214" s="181"/>
      <c r="NIO214" s="181"/>
      <c r="NIP214" s="181"/>
      <c r="NIQ214" s="181"/>
      <c r="NIR214" s="181"/>
      <c r="NIS214" s="181"/>
      <c r="NIT214" s="181"/>
      <c r="NIU214" s="181"/>
      <c r="NIV214" s="181"/>
      <c r="NIW214" s="181"/>
      <c r="NIX214" s="181"/>
      <c r="NIY214" s="181"/>
      <c r="NIZ214" s="181"/>
      <c r="NJA214" s="181"/>
      <c r="NJB214" s="181"/>
      <c r="NJC214" s="181"/>
      <c r="NJD214" s="181"/>
      <c r="NJE214" s="181"/>
      <c r="NJF214" s="181"/>
      <c r="NJG214" s="181"/>
      <c r="NJH214" s="181"/>
      <c r="NJI214" s="181"/>
      <c r="NJJ214" s="181"/>
      <c r="NJK214" s="181"/>
      <c r="NJL214" s="181"/>
      <c r="NJM214" s="181"/>
      <c r="NJN214" s="181"/>
      <c r="NJO214" s="181"/>
      <c r="NJP214" s="181"/>
      <c r="NJQ214" s="181"/>
      <c r="NJR214" s="181"/>
      <c r="NJS214" s="181"/>
      <c r="NJT214" s="181"/>
      <c r="NJU214" s="181"/>
      <c r="NJV214" s="181"/>
      <c r="NJW214" s="181"/>
      <c r="NJX214" s="181"/>
      <c r="NJY214" s="181"/>
      <c r="NJZ214" s="181"/>
      <c r="NKA214" s="181"/>
      <c r="NKB214" s="181"/>
      <c r="NKC214" s="181"/>
      <c r="NKD214" s="181"/>
      <c r="NKE214" s="181"/>
      <c r="NKF214" s="181"/>
      <c r="NKG214" s="181"/>
      <c r="NKH214" s="181"/>
      <c r="NKI214" s="181"/>
      <c r="NKJ214" s="181"/>
      <c r="NKK214" s="181"/>
      <c r="NKL214" s="181"/>
      <c r="NKM214" s="181"/>
      <c r="NKN214" s="181"/>
      <c r="NKO214" s="181"/>
      <c r="NKP214" s="181"/>
      <c r="NKQ214" s="181"/>
      <c r="NKR214" s="181"/>
      <c r="NKS214" s="181"/>
      <c r="NKT214" s="181"/>
      <c r="NKU214" s="181"/>
      <c r="NKV214" s="181"/>
      <c r="NKW214" s="181"/>
      <c r="NKX214" s="181"/>
      <c r="NKY214" s="181"/>
      <c r="NKZ214" s="181"/>
      <c r="NLA214" s="181"/>
      <c r="NLB214" s="181"/>
      <c r="NLC214" s="181"/>
      <c r="NLD214" s="181"/>
      <c r="NLE214" s="181"/>
      <c r="NLF214" s="181"/>
      <c r="NLG214" s="181"/>
      <c r="NLH214" s="181"/>
      <c r="NLI214" s="181"/>
      <c r="NLJ214" s="181"/>
      <c r="NLK214" s="181"/>
      <c r="NLL214" s="181"/>
      <c r="NLM214" s="181"/>
      <c r="NLN214" s="181"/>
      <c r="NLO214" s="181"/>
      <c r="NLP214" s="181"/>
      <c r="NLQ214" s="181"/>
      <c r="NLR214" s="181"/>
      <c r="NLS214" s="181"/>
      <c r="NLT214" s="181"/>
      <c r="NLU214" s="181"/>
      <c r="NLV214" s="181"/>
      <c r="NLW214" s="181"/>
      <c r="NLX214" s="181"/>
      <c r="NLY214" s="181"/>
      <c r="NLZ214" s="181"/>
      <c r="NMA214" s="181"/>
      <c r="NMB214" s="181"/>
      <c r="NMC214" s="181"/>
      <c r="NMD214" s="181"/>
      <c r="NME214" s="181"/>
      <c r="NMF214" s="181"/>
      <c r="NMG214" s="181"/>
      <c r="NMH214" s="181"/>
      <c r="NMI214" s="181"/>
      <c r="NMJ214" s="181"/>
      <c r="NMK214" s="181"/>
      <c r="NML214" s="181"/>
      <c r="NMM214" s="181"/>
      <c r="NMN214" s="181"/>
      <c r="NMO214" s="181"/>
      <c r="NMP214" s="181"/>
      <c r="NMQ214" s="181"/>
      <c r="NMR214" s="181"/>
      <c r="NMS214" s="181"/>
      <c r="NMT214" s="181"/>
      <c r="NMU214" s="181"/>
      <c r="NMV214" s="181"/>
      <c r="NMW214" s="181"/>
      <c r="NMX214" s="181"/>
      <c r="NMY214" s="181"/>
      <c r="NMZ214" s="181"/>
      <c r="NNA214" s="181"/>
      <c r="NNB214" s="181"/>
      <c r="NNC214" s="181"/>
      <c r="NND214" s="181"/>
      <c r="NNE214" s="181"/>
      <c r="NNF214" s="181"/>
      <c r="NNG214" s="181"/>
      <c r="NNH214" s="181"/>
      <c r="NNI214" s="181"/>
      <c r="NNJ214" s="181"/>
      <c r="NNK214" s="181"/>
      <c r="NNL214" s="181"/>
      <c r="NNM214" s="181"/>
      <c r="NNN214" s="181"/>
      <c r="NNO214" s="181"/>
      <c r="NNP214" s="181"/>
      <c r="NNQ214" s="181"/>
      <c r="NNR214" s="181"/>
      <c r="NNS214" s="181"/>
      <c r="NNT214" s="181"/>
      <c r="NNU214" s="181"/>
      <c r="NNV214" s="181"/>
      <c r="NNW214" s="181"/>
      <c r="NNX214" s="181"/>
      <c r="NNY214" s="181"/>
      <c r="NNZ214" s="181"/>
      <c r="NOA214" s="181"/>
      <c r="NOB214" s="181"/>
      <c r="NOC214" s="181"/>
      <c r="NOD214" s="181"/>
      <c r="NOE214" s="181"/>
      <c r="NOF214" s="181"/>
      <c r="NOG214" s="181"/>
      <c r="NOH214" s="181"/>
      <c r="NOI214" s="181"/>
      <c r="NOJ214" s="181"/>
      <c r="NOK214" s="181"/>
      <c r="NOL214" s="181"/>
      <c r="NOM214" s="181"/>
      <c r="NON214" s="181"/>
      <c r="NOO214" s="181"/>
      <c r="NOP214" s="181"/>
      <c r="NOQ214" s="181"/>
      <c r="NOR214" s="181"/>
      <c r="NOS214" s="181"/>
      <c r="NOT214" s="181"/>
      <c r="NOU214" s="181"/>
      <c r="NOV214" s="181"/>
      <c r="NOW214" s="181"/>
      <c r="NOX214" s="181"/>
      <c r="NOY214" s="181"/>
      <c r="NOZ214" s="181"/>
      <c r="NPA214" s="181"/>
      <c r="NPB214" s="181"/>
      <c r="NPC214" s="181"/>
      <c r="NPD214" s="181"/>
      <c r="NPE214" s="181"/>
      <c r="NPF214" s="181"/>
      <c r="NPG214" s="181"/>
      <c r="NPH214" s="181"/>
      <c r="NPI214" s="181"/>
      <c r="NPJ214" s="181"/>
      <c r="NPK214" s="181"/>
      <c r="NPL214" s="181"/>
      <c r="NPM214" s="181"/>
      <c r="NPN214" s="181"/>
      <c r="NPO214" s="181"/>
      <c r="NPP214" s="181"/>
      <c r="NPQ214" s="181"/>
      <c r="NPR214" s="181"/>
      <c r="NPS214" s="181"/>
      <c r="NPT214" s="181"/>
      <c r="NPU214" s="181"/>
      <c r="NPV214" s="181"/>
      <c r="NPW214" s="181"/>
      <c r="NPX214" s="181"/>
      <c r="NPY214" s="181"/>
      <c r="NPZ214" s="181"/>
      <c r="NQA214" s="181"/>
      <c r="NQB214" s="181"/>
      <c r="NQC214" s="181"/>
      <c r="NQD214" s="181"/>
      <c r="NQE214" s="181"/>
      <c r="NQF214" s="181"/>
      <c r="NQG214" s="181"/>
      <c r="NQH214" s="181"/>
      <c r="NQI214" s="181"/>
      <c r="NQJ214" s="181"/>
      <c r="NQK214" s="181"/>
      <c r="NQL214" s="181"/>
      <c r="NQM214" s="181"/>
      <c r="NQN214" s="181"/>
      <c r="NQO214" s="181"/>
      <c r="NQP214" s="181"/>
      <c r="NQQ214" s="181"/>
      <c r="NQR214" s="181"/>
      <c r="NQS214" s="181"/>
      <c r="NQT214" s="181"/>
      <c r="NQU214" s="181"/>
      <c r="NQV214" s="181"/>
      <c r="NQW214" s="181"/>
      <c r="NQX214" s="181"/>
      <c r="NQY214" s="181"/>
      <c r="NQZ214" s="181"/>
      <c r="NRA214" s="181"/>
      <c r="NRB214" s="181"/>
      <c r="NRC214" s="181"/>
      <c r="NRD214" s="181"/>
      <c r="NRE214" s="181"/>
      <c r="NRF214" s="181"/>
      <c r="NRG214" s="181"/>
      <c r="NRH214" s="181"/>
      <c r="NRI214" s="181"/>
      <c r="NRJ214" s="181"/>
      <c r="NRK214" s="181"/>
      <c r="NRL214" s="181"/>
      <c r="NRM214" s="181"/>
      <c r="NRN214" s="181"/>
      <c r="NRO214" s="181"/>
      <c r="NRP214" s="181"/>
      <c r="NRQ214" s="181"/>
      <c r="NRR214" s="181"/>
      <c r="NRS214" s="181"/>
      <c r="NRT214" s="181"/>
      <c r="NRU214" s="181"/>
      <c r="NRV214" s="181"/>
      <c r="NRW214" s="181"/>
      <c r="NRX214" s="181"/>
      <c r="NRY214" s="181"/>
      <c r="NRZ214" s="181"/>
      <c r="NSA214" s="181"/>
      <c r="NSB214" s="181"/>
      <c r="NSC214" s="181"/>
      <c r="NSD214" s="181"/>
      <c r="NSE214" s="181"/>
      <c r="NSF214" s="181"/>
      <c r="NSG214" s="181"/>
      <c r="NSH214" s="181"/>
      <c r="NSI214" s="181"/>
      <c r="NSJ214" s="181"/>
      <c r="NSK214" s="181"/>
      <c r="NSL214" s="181"/>
      <c r="NSM214" s="181"/>
      <c r="NSN214" s="181"/>
      <c r="NSO214" s="181"/>
      <c r="NSP214" s="181"/>
      <c r="NSQ214" s="181"/>
      <c r="NSR214" s="181"/>
      <c r="NSS214" s="181"/>
      <c r="NST214" s="181"/>
      <c r="NSU214" s="181"/>
      <c r="NSV214" s="181"/>
      <c r="NSW214" s="181"/>
      <c r="NSX214" s="181"/>
      <c r="NSY214" s="181"/>
      <c r="NSZ214" s="181"/>
      <c r="NTA214" s="181"/>
      <c r="NTB214" s="181"/>
      <c r="NTC214" s="181"/>
      <c r="NTD214" s="181"/>
      <c r="NTE214" s="181"/>
      <c r="NTF214" s="181"/>
      <c r="NTG214" s="181"/>
      <c r="NTH214" s="181"/>
      <c r="NTI214" s="181"/>
      <c r="NTJ214" s="181"/>
      <c r="NTK214" s="181"/>
      <c r="NTL214" s="181"/>
      <c r="NTM214" s="181"/>
      <c r="NTN214" s="181"/>
      <c r="NTO214" s="181"/>
      <c r="NTP214" s="181"/>
      <c r="NTQ214" s="181"/>
      <c r="NTR214" s="181"/>
      <c r="NTS214" s="181"/>
      <c r="NTT214" s="181"/>
      <c r="NTU214" s="181"/>
      <c r="NTV214" s="181"/>
      <c r="NTW214" s="181"/>
      <c r="NTX214" s="181"/>
      <c r="NTY214" s="181"/>
      <c r="NTZ214" s="181"/>
      <c r="NUA214" s="181"/>
      <c r="NUB214" s="181"/>
      <c r="NUC214" s="181"/>
      <c r="NUD214" s="181"/>
      <c r="NUE214" s="181"/>
      <c r="NUF214" s="181"/>
      <c r="NUG214" s="181"/>
      <c r="NUH214" s="181"/>
      <c r="NUI214" s="181"/>
      <c r="NUJ214" s="181"/>
      <c r="NUK214" s="181"/>
      <c r="NUL214" s="181"/>
      <c r="NUM214" s="181"/>
      <c r="NUN214" s="181"/>
      <c r="NUO214" s="181"/>
      <c r="NUP214" s="181"/>
      <c r="NUQ214" s="181"/>
      <c r="NUR214" s="181"/>
      <c r="NUS214" s="181"/>
      <c r="NUT214" s="181"/>
      <c r="NUU214" s="181"/>
      <c r="NUV214" s="181"/>
      <c r="NUW214" s="181"/>
      <c r="NUX214" s="181"/>
      <c r="NUY214" s="181"/>
      <c r="NUZ214" s="181"/>
      <c r="NVA214" s="181"/>
      <c r="NVB214" s="181"/>
      <c r="NVC214" s="181"/>
      <c r="NVD214" s="181"/>
      <c r="NVE214" s="181"/>
      <c r="NVF214" s="181"/>
      <c r="NVG214" s="181"/>
      <c r="NVH214" s="181"/>
      <c r="NVI214" s="181"/>
      <c r="NVJ214" s="181"/>
      <c r="NVK214" s="181"/>
      <c r="NVL214" s="181"/>
      <c r="NVM214" s="181"/>
      <c r="NVN214" s="181"/>
      <c r="NVO214" s="181"/>
      <c r="NVP214" s="181"/>
      <c r="NVQ214" s="181"/>
      <c r="NVR214" s="181"/>
      <c r="NVS214" s="181"/>
      <c r="NVT214" s="181"/>
      <c r="NVU214" s="181"/>
      <c r="NVV214" s="181"/>
      <c r="NVW214" s="181"/>
      <c r="NVX214" s="181"/>
      <c r="NVY214" s="181"/>
      <c r="NVZ214" s="181"/>
      <c r="NWA214" s="181"/>
      <c r="NWB214" s="181"/>
      <c r="NWC214" s="181"/>
      <c r="NWD214" s="181"/>
      <c r="NWE214" s="181"/>
      <c r="NWF214" s="181"/>
      <c r="NWG214" s="181"/>
      <c r="NWH214" s="181"/>
      <c r="NWI214" s="181"/>
      <c r="NWJ214" s="181"/>
      <c r="NWK214" s="181"/>
      <c r="NWL214" s="181"/>
      <c r="NWM214" s="181"/>
      <c r="NWN214" s="181"/>
      <c r="NWO214" s="181"/>
      <c r="NWP214" s="181"/>
      <c r="NWQ214" s="181"/>
      <c r="NWR214" s="181"/>
      <c r="NWS214" s="181"/>
      <c r="NWT214" s="181"/>
      <c r="NWU214" s="181"/>
      <c r="NWV214" s="181"/>
      <c r="NWW214" s="181"/>
      <c r="NWX214" s="181"/>
      <c r="NWY214" s="181"/>
      <c r="NWZ214" s="181"/>
      <c r="NXA214" s="181"/>
      <c r="NXB214" s="181"/>
      <c r="NXC214" s="181"/>
      <c r="NXD214" s="181"/>
      <c r="NXE214" s="181"/>
      <c r="NXF214" s="181"/>
      <c r="NXG214" s="181"/>
      <c r="NXH214" s="181"/>
      <c r="NXI214" s="181"/>
      <c r="NXJ214" s="181"/>
      <c r="NXK214" s="181"/>
      <c r="NXL214" s="181"/>
      <c r="NXM214" s="181"/>
      <c r="NXN214" s="181"/>
      <c r="NXO214" s="181"/>
      <c r="NXP214" s="181"/>
      <c r="NXQ214" s="181"/>
      <c r="NXR214" s="181"/>
      <c r="NXS214" s="181"/>
      <c r="NXT214" s="181"/>
      <c r="NXU214" s="181"/>
      <c r="NXV214" s="181"/>
      <c r="NXW214" s="181"/>
      <c r="NXX214" s="181"/>
      <c r="NXY214" s="181"/>
      <c r="NXZ214" s="181"/>
      <c r="NYA214" s="181"/>
      <c r="NYB214" s="181"/>
      <c r="NYC214" s="181"/>
      <c r="NYD214" s="181"/>
      <c r="NYE214" s="181"/>
      <c r="NYF214" s="181"/>
      <c r="NYG214" s="181"/>
      <c r="NYH214" s="181"/>
      <c r="NYI214" s="181"/>
      <c r="NYJ214" s="181"/>
      <c r="NYK214" s="181"/>
      <c r="NYL214" s="181"/>
      <c r="NYM214" s="181"/>
      <c r="NYN214" s="181"/>
      <c r="NYO214" s="181"/>
      <c r="NYP214" s="181"/>
      <c r="NYQ214" s="181"/>
      <c r="NYR214" s="181"/>
      <c r="NYS214" s="181"/>
      <c r="NYT214" s="181"/>
      <c r="NYU214" s="181"/>
      <c r="NYV214" s="181"/>
      <c r="NYW214" s="181"/>
      <c r="NYX214" s="181"/>
      <c r="NYY214" s="181"/>
      <c r="NYZ214" s="181"/>
      <c r="NZA214" s="181"/>
      <c r="NZB214" s="181"/>
      <c r="NZC214" s="181"/>
      <c r="NZD214" s="181"/>
      <c r="NZE214" s="181"/>
      <c r="NZF214" s="181"/>
      <c r="NZG214" s="181"/>
      <c r="NZH214" s="181"/>
      <c r="NZI214" s="181"/>
      <c r="NZJ214" s="181"/>
      <c r="NZK214" s="181"/>
      <c r="NZL214" s="181"/>
      <c r="NZM214" s="181"/>
      <c r="NZN214" s="181"/>
      <c r="NZO214" s="181"/>
      <c r="NZP214" s="181"/>
      <c r="NZQ214" s="181"/>
      <c r="NZR214" s="181"/>
      <c r="NZS214" s="181"/>
      <c r="NZT214" s="181"/>
      <c r="NZU214" s="181"/>
      <c r="NZV214" s="181"/>
      <c r="NZW214" s="181"/>
      <c r="NZX214" s="181"/>
      <c r="NZY214" s="181"/>
      <c r="NZZ214" s="181"/>
      <c r="OAA214" s="181"/>
      <c r="OAB214" s="181"/>
      <c r="OAC214" s="181"/>
      <c r="OAD214" s="181"/>
      <c r="OAE214" s="181"/>
      <c r="OAF214" s="181"/>
      <c r="OAG214" s="181"/>
      <c r="OAH214" s="181"/>
      <c r="OAI214" s="181"/>
      <c r="OAJ214" s="181"/>
      <c r="OAK214" s="181"/>
      <c r="OAL214" s="181"/>
      <c r="OAM214" s="181"/>
      <c r="OAN214" s="181"/>
      <c r="OAO214" s="181"/>
      <c r="OAP214" s="181"/>
      <c r="OAQ214" s="181"/>
      <c r="OAR214" s="181"/>
      <c r="OAS214" s="181"/>
      <c r="OAT214" s="181"/>
      <c r="OAU214" s="181"/>
      <c r="OAV214" s="181"/>
      <c r="OAW214" s="181"/>
      <c r="OAX214" s="181"/>
      <c r="OAY214" s="181"/>
      <c r="OAZ214" s="181"/>
      <c r="OBA214" s="181"/>
      <c r="OBB214" s="181"/>
      <c r="OBC214" s="181"/>
      <c r="OBD214" s="181"/>
      <c r="OBE214" s="181"/>
      <c r="OBF214" s="181"/>
      <c r="OBG214" s="181"/>
      <c r="OBH214" s="181"/>
      <c r="OBI214" s="181"/>
      <c r="OBJ214" s="181"/>
      <c r="OBK214" s="181"/>
      <c r="OBL214" s="181"/>
      <c r="OBM214" s="181"/>
      <c r="OBN214" s="181"/>
      <c r="OBO214" s="181"/>
      <c r="OBP214" s="181"/>
      <c r="OBQ214" s="181"/>
      <c r="OBR214" s="181"/>
      <c r="OBS214" s="181"/>
      <c r="OBT214" s="181"/>
      <c r="OBU214" s="181"/>
      <c r="OBV214" s="181"/>
      <c r="OBW214" s="181"/>
      <c r="OBX214" s="181"/>
      <c r="OBY214" s="181"/>
      <c r="OBZ214" s="181"/>
      <c r="OCA214" s="181"/>
      <c r="OCB214" s="181"/>
      <c r="OCC214" s="181"/>
      <c r="OCD214" s="181"/>
      <c r="OCE214" s="181"/>
      <c r="OCF214" s="181"/>
      <c r="OCG214" s="181"/>
      <c r="OCH214" s="181"/>
      <c r="OCI214" s="181"/>
      <c r="OCJ214" s="181"/>
      <c r="OCK214" s="181"/>
      <c r="OCL214" s="181"/>
      <c r="OCM214" s="181"/>
      <c r="OCN214" s="181"/>
      <c r="OCO214" s="181"/>
      <c r="OCP214" s="181"/>
      <c r="OCQ214" s="181"/>
      <c r="OCR214" s="181"/>
      <c r="OCS214" s="181"/>
      <c r="OCT214" s="181"/>
      <c r="OCU214" s="181"/>
      <c r="OCV214" s="181"/>
      <c r="OCW214" s="181"/>
      <c r="OCX214" s="181"/>
      <c r="OCY214" s="181"/>
      <c r="OCZ214" s="181"/>
      <c r="ODA214" s="181"/>
      <c r="ODB214" s="181"/>
      <c r="ODC214" s="181"/>
      <c r="ODD214" s="181"/>
      <c r="ODE214" s="181"/>
      <c r="ODF214" s="181"/>
      <c r="ODG214" s="181"/>
      <c r="ODH214" s="181"/>
      <c r="ODI214" s="181"/>
      <c r="ODJ214" s="181"/>
      <c r="ODK214" s="181"/>
      <c r="ODL214" s="181"/>
      <c r="ODM214" s="181"/>
      <c r="ODN214" s="181"/>
      <c r="ODO214" s="181"/>
      <c r="ODP214" s="181"/>
      <c r="ODQ214" s="181"/>
      <c r="ODR214" s="181"/>
      <c r="ODS214" s="181"/>
      <c r="ODT214" s="181"/>
      <c r="ODU214" s="181"/>
      <c r="ODV214" s="181"/>
      <c r="ODW214" s="181"/>
      <c r="ODX214" s="181"/>
      <c r="ODY214" s="181"/>
      <c r="ODZ214" s="181"/>
      <c r="OEA214" s="181"/>
      <c r="OEB214" s="181"/>
      <c r="OEC214" s="181"/>
      <c r="OED214" s="181"/>
      <c r="OEE214" s="181"/>
      <c r="OEF214" s="181"/>
      <c r="OEG214" s="181"/>
      <c r="OEH214" s="181"/>
      <c r="OEI214" s="181"/>
      <c r="OEJ214" s="181"/>
      <c r="OEK214" s="181"/>
      <c r="OEL214" s="181"/>
      <c r="OEM214" s="181"/>
      <c r="OEN214" s="181"/>
      <c r="OEO214" s="181"/>
      <c r="OEP214" s="181"/>
      <c r="OEQ214" s="181"/>
      <c r="OER214" s="181"/>
      <c r="OES214" s="181"/>
      <c r="OET214" s="181"/>
      <c r="OEU214" s="181"/>
      <c r="OEV214" s="181"/>
      <c r="OEW214" s="181"/>
      <c r="OEX214" s="181"/>
      <c r="OEY214" s="181"/>
      <c r="OEZ214" s="181"/>
      <c r="OFA214" s="181"/>
      <c r="OFB214" s="181"/>
      <c r="OFC214" s="181"/>
      <c r="OFD214" s="181"/>
      <c r="OFE214" s="181"/>
      <c r="OFF214" s="181"/>
      <c r="OFG214" s="181"/>
      <c r="OFH214" s="181"/>
      <c r="OFI214" s="181"/>
      <c r="OFJ214" s="181"/>
      <c r="OFK214" s="181"/>
      <c r="OFL214" s="181"/>
      <c r="OFM214" s="181"/>
      <c r="OFN214" s="181"/>
      <c r="OFO214" s="181"/>
      <c r="OFP214" s="181"/>
      <c r="OFQ214" s="181"/>
      <c r="OFR214" s="181"/>
      <c r="OFS214" s="181"/>
      <c r="OFT214" s="181"/>
      <c r="OFU214" s="181"/>
      <c r="OFV214" s="181"/>
      <c r="OFW214" s="181"/>
      <c r="OFX214" s="181"/>
      <c r="OFY214" s="181"/>
      <c r="OFZ214" s="181"/>
      <c r="OGA214" s="181"/>
      <c r="OGB214" s="181"/>
      <c r="OGC214" s="181"/>
      <c r="OGD214" s="181"/>
      <c r="OGE214" s="181"/>
      <c r="OGF214" s="181"/>
      <c r="OGG214" s="181"/>
      <c r="OGH214" s="181"/>
      <c r="OGI214" s="181"/>
      <c r="OGJ214" s="181"/>
      <c r="OGK214" s="181"/>
      <c r="OGL214" s="181"/>
      <c r="OGM214" s="181"/>
      <c r="OGN214" s="181"/>
      <c r="OGO214" s="181"/>
      <c r="OGP214" s="181"/>
      <c r="OGQ214" s="181"/>
      <c r="OGR214" s="181"/>
      <c r="OGS214" s="181"/>
      <c r="OGT214" s="181"/>
      <c r="OGU214" s="181"/>
      <c r="OGV214" s="181"/>
      <c r="OGW214" s="181"/>
      <c r="OGX214" s="181"/>
      <c r="OGY214" s="181"/>
      <c r="OGZ214" s="181"/>
      <c r="OHA214" s="181"/>
      <c r="OHB214" s="181"/>
      <c r="OHC214" s="181"/>
      <c r="OHD214" s="181"/>
      <c r="OHE214" s="181"/>
      <c r="OHF214" s="181"/>
      <c r="OHG214" s="181"/>
      <c r="OHH214" s="181"/>
      <c r="OHI214" s="181"/>
      <c r="OHJ214" s="181"/>
      <c r="OHK214" s="181"/>
      <c r="OHL214" s="181"/>
      <c r="OHM214" s="181"/>
      <c r="OHN214" s="181"/>
      <c r="OHO214" s="181"/>
      <c r="OHP214" s="181"/>
      <c r="OHQ214" s="181"/>
      <c r="OHR214" s="181"/>
      <c r="OHS214" s="181"/>
      <c r="OHT214" s="181"/>
      <c r="OHU214" s="181"/>
      <c r="OHV214" s="181"/>
      <c r="OHW214" s="181"/>
      <c r="OHX214" s="181"/>
      <c r="OHY214" s="181"/>
      <c r="OHZ214" s="181"/>
      <c r="OIA214" s="181"/>
      <c r="OIB214" s="181"/>
      <c r="OIC214" s="181"/>
      <c r="OID214" s="181"/>
      <c r="OIE214" s="181"/>
      <c r="OIF214" s="181"/>
      <c r="OIG214" s="181"/>
      <c r="OIH214" s="181"/>
      <c r="OII214" s="181"/>
      <c r="OIJ214" s="181"/>
      <c r="OIK214" s="181"/>
      <c r="OIL214" s="181"/>
      <c r="OIM214" s="181"/>
      <c r="OIN214" s="181"/>
      <c r="OIO214" s="181"/>
      <c r="OIP214" s="181"/>
      <c r="OIQ214" s="181"/>
      <c r="OIR214" s="181"/>
      <c r="OIS214" s="181"/>
      <c r="OIT214" s="181"/>
      <c r="OIU214" s="181"/>
      <c r="OIV214" s="181"/>
      <c r="OIW214" s="181"/>
      <c r="OIX214" s="181"/>
      <c r="OIY214" s="181"/>
      <c r="OIZ214" s="181"/>
      <c r="OJA214" s="181"/>
      <c r="OJB214" s="181"/>
      <c r="OJC214" s="181"/>
      <c r="OJD214" s="181"/>
      <c r="OJE214" s="181"/>
      <c r="OJF214" s="181"/>
      <c r="OJG214" s="181"/>
      <c r="OJH214" s="181"/>
      <c r="OJI214" s="181"/>
      <c r="OJJ214" s="181"/>
      <c r="OJK214" s="181"/>
      <c r="OJL214" s="181"/>
      <c r="OJM214" s="181"/>
      <c r="OJN214" s="181"/>
      <c r="OJO214" s="181"/>
      <c r="OJP214" s="181"/>
      <c r="OJQ214" s="181"/>
      <c r="OJR214" s="181"/>
      <c r="OJS214" s="181"/>
      <c r="OJT214" s="181"/>
      <c r="OJU214" s="181"/>
      <c r="OJV214" s="181"/>
      <c r="OJW214" s="181"/>
      <c r="OJX214" s="181"/>
      <c r="OJY214" s="181"/>
      <c r="OJZ214" s="181"/>
      <c r="OKA214" s="181"/>
      <c r="OKB214" s="181"/>
      <c r="OKC214" s="181"/>
      <c r="OKD214" s="181"/>
      <c r="OKE214" s="181"/>
      <c r="OKF214" s="181"/>
      <c r="OKG214" s="181"/>
      <c r="OKH214" s="181"/>
      <c r="OKI214" s="181"/>
      <c r="OKJ214" s="181"/>
      <c r="OKK214" s="181"/>
      <c r="OKL214" s="181"/>
      <c r="OKM214" s="181"/>
      <c r="OKN214" s="181"/>
      <c r="OKO214" s="181"/>
      <c r="OKP214" s="181"/>
      <c r="OKQ214" s="181"/>
      <c r="OKR214" s="181"/>
      <c r="OKS214" s="181"/>
      <c r="OKT214" s="181"/>
      <c r="OKU214" s="181"/>
      <c r="OKV214" s="181"/>
      <c r="OKW214" s="181"/>
      <c r="OKX214" s="181"/>
      <c r="OKY214" s="181"/>
      <c r="OKZ214" s="181"/>
      <c r="OLA214" s="181"/>
      <c r="OLB214" s="181"/>
      <c r="OLC214" s="181"/>
      <c r="OLD214" s="181"/>
      <c r="OLE214" s="181"/>
      <c r="OLF214" s="181"/>
      <c r="OLG214" s="181"/>
      <c r="OLH214" s="181"/>
      <c r="OLI214" s="181"/>
      <c r="OLJ214" s="181"/>
      <c r="OLK214" s="181"/>
      <c r="OLL214" s="181"/>
      <c r="OLM214" s="181"/>
      <c r="OLN214" s="181"/>
      <c r="OLO214" s="181"/>
      <c r="OLP214" s="181"/>
      <c r="OLQ214" s="181"/>
      <c r="OLR214" s="181"/>
      <c r="OLS214" s="181"/>
      <c r="OLT214" s="181"/>
      <c r="OLU214" s="181"/>
      <c r="OLV214" s="181"/>
      <c r="OLW214" s="181"/>
      <c r="OLX214" s="181"/>
      <c r="OLY214" s="181"/>
      <c r="OLZ214" s="181"/>
      <c r="OMA214" s="181"/>
      <c r="OMB214" s="181"/>
      <c r="OMC214" s="181"/>
      <c r="OMD214" s="181"/>
      <c r="OME214" s="181"/>
      <c r="OMF214" s="181"/>
      <c r="OMG214" s="181"/>
      <c r="OMH214" s="181"/>
      <c r="OMI214" s="181"/>
      <c r="OMJ214" s="181"/>
      <c r="OMK214" s="181"/>
      <c r="OML214" s="181"/>
      <c r="OMM214" s="181"/>
      <c r="OMN214" s="181"/>
      <c r="OMO214" s="181"/>
      <c r="OMP214" s="181"/>
      <c r="OMQ214" s="181"/>
      <c r="OMR214" s="181"/>
      <c r="OMS214" s="181"/>
      <c r="OMT214" s="181"/>
      <c r="OMU214" s="181"/>
      <c r="OMV214" s="181"/>
      <c r="OMW214" s="181"/>
      <c r="OMX214" s="181"/>
      <c r="OMY214" s="181"/>
      <c r="OMZ214" s="181"/>
      <c r="ONA214" s="181"/>
      <c r="ONB214" s="181"/>
      <c r="ONC214" s="181"/>
      <c r="OND214" s="181"/>
      <c r="ONE214" s="181"/>
      <c r="ONF214" s="181"/>
      <c r="ONG214" s="181"/>
      <c r="ONH214" s="181"/>
      <c r="ONI214" s="181"/>
      <c r="ONJ214" s="181"/>
      <c r="ONK214" s="181"/>
      <c r="ONL214" s="181"/>
      <c r="ONM214" s="181"/>
      <c r="ONN214" s="181"/>
      <c r="ONO214" s="181"/>
      <c r="ONP214" s="181"/>
      <c r="ONQ214" s="181"/>
      <c r="ONR214" s="181"/>
      <c r="ONS214" s="181"/>
      <c r="ONT214" s="181"/>
      <c r="ONU214" s="181"/>
      <c r="ONV214" s="181"/>
      <c r="ONW214" s="181"/>
      <c r="ONX214" s="181"/>
      <c r="ONY214" s="181"/>
      <c r="ONZ214" s="181"/>
      <c r="OOA214" s="181"/>
      <c r="OOB214" s="181"/>
      <c r="OOC214" s="181"/>
      <c r="OOD214" s="181"/>
      <c r="OOE214" s="181"/>
      <c r="OOF214" s="181"/>
      <c r="OOG214" s="181"/>
      <c r="OOH214" s="181"/>
      <c r="OOI214" s="181"/>
      <c r="OOJ214" s="181"/>
      <c r="OOK214" s="181"/>
      <c r="OOL214" s="181"/>
      <c r="OOM214" s="181"/>
      <c r="OON214" s="181"/>
      <c r="OOO214" s="181"/>
      <c r="OOP214" s="181"/>
      <c r="OOQ214" s="181"/>
      <c r="OOR214" s="181"/>
      <c r="OOS214" s="181"/>
      <c r="OOT214" s="181"/>
      <c r="OOU214" s="181"/>
      <c r="OOV214" s="181"/>
      <c r="OOW214" s="181"/>
      <c r="OOX214" s="181"/>
      <c r="OOY214" s="181"/>
      <c r="OOZ214" s="181"/>
      <c r="OPA214" s="181"/>
      <c r="OPB214" s="181"/>
      <c r="OPC214" s="181"/>
      <c r="OPD214" s="181"/>
      <c r="OPE214" s="181"/>
      <c r="OPF214" s="181"/>
      <c r="OPG214" s="181"/>
      <c r="OPH214" s="181"/>
      <c r="OPI214" s="181"/>
      <c r="OPJ214" s="181"/>
      <c r="OPK214" s="181"/>
      <c r="OPL214" s="181"/>
      <c r="OPM214" s="181"/>
      <c r="OPN214" s="181"/>
      <c r="OPO214" s="181"/>
      <c r="OPP214" s="181"/>
      <c r="OPQ214" s="181"/>
      <c r="OPR214" s="181"/>
      <c r="OPS214" s="181"/>
      <c r="OPT214" s="181"/>
      <c r="OPU214" s="181"/>
      <c r="OPV214" s="181"/>
      <c r="OPW214" s="181"/>
      <c r="OPX214" s="181"/>
      <c r="OPY214" s="181"/>
      <c r="OPZ214" s="181"/>
      <c r="OQA214" s="181"/>
      <c r="OQB214" s="181"/>
      <c r="OQC214" s="181"/>
      <c r="OQD214" s="181"/>
      <c r="OQE214" s="181"/>
      <c r="OQF214" s="181"/>
      <c r="OQG214" s="181"/>
      <c r="OQH214" s="181"/>
      <c r="OQI214" s="181"/>
      <c r="OQJ214" s="181"/>
      <c r="OQK214" s="181"/>
      <c r="OQL214" s="181"/>
      <c r="OQM214" s="181"/>
      <c r="OQN214" s="181"/>
      <c r="OQO214" s="181"/>
      <c r="OQP214" s="181"/>
      <c r="OQQ214" s="181"/>
      <c r="OQR214" s="181"/>
      <c r="OQS214" s="181"/>
      <c r="OQT214" s="181"/>
      <c r="OQU214" s="181"/>
      <c r="OQV214" s="181"/>
      <c r="OQW214" s="181"/>
      <c r="OQX214" s="181"/>
      <c r="OQY214" s="181"/>
      <c r="OQZ214" s="181"/>
      <c r="ORA214" s="181"/>
      <c r="ORB214" s="181"/>
      <c r="ORC214" s="181"/>
      <c r="ORD214" s="181"/>
      <c r="ORE214" s="181"/>
      <c r="ORF214" s="181"/>
      <c r="ORG214" s="181"/>
      <c r="ORH214" s="181"/>
      <c r="ORI214" s="181"/>
      <c r="ORJ214" s="181"/>
      <c r="ORK214" s="181"/>
      <c r="ORL214" s="181"/>
      <c r="ORM214" s="181"/>
      <c r="ORN214" s="181"/>
      <c r="ORO214" s="181"/>
      <c r="ORP214" s="181"/>
      <c r="ORQ214" s="181"/>
      <c r="ORR214" s="181"/>
      <c r="ORS214" s="181"/>
      <c r="ORT214" s="181"/>
      <c r="ORU214" s="181"/>
      <c r="ORV214" s="181"/>
      <c r="ORW214" s="181"/>
      <c r="ORX214" s="181"/>
      <c r="ORY214" s="181"/>
      <c r="ORZ214" s="181"/>
      <c r="OSA214" s="181"/>
      <c r="OSB214" s="181"/>
      <c r="OSC214" s="181"/>
      <c r="OSD214" s="181"/>
      <c r="OSE214" s="181"/>
      <c r="OSF214" s="181"/>
      <c r="OSG214" s="181"/>
      <c r="OSH214" s="181"/>
      <c r="OSI214" s="181"/>
      <c r="OSJ214" s="181"/>
      <c r="OSK214" s="181"/>
      <c r="OSL214" s="181"/>
      <c r="OSM214" s="181"/>
      <c r="OSN214" s="181"/>
      <c r="OSO214" s="181"/>
      <c r="OSP214" s="181"/>
      <c r="OSQ214" s="181"/>
      <c r="OSR214" s="181"/>
      <c r="OSS214" s="181"/>
      <c r="OST214" s="181"/>
      <c r="OSU214" s="181"/>
      <c r="OSV214" s="181"/>
      <c r="OSW214" s="181"/>
      <c r="OSX214" s="181"/>
      <c r="OSY214" s="181"/>
      <c r="OSZ214" s="181"/>
      <c r="OTA214" s="181"/>
      <c r="OTB214" s="181"/>
      <c r="OTC214" s="181"/>
      <c r="OTD214" s="181"/>
      <c r="OTE214" s="181"/>
      <c r="OTF214" s="181"/>
      <c r="OTG214" s="181"/>
      <c r="OTH214" s="181"/>
      <c r="OTI214" s="181"/>
      <c r="OTJ214" s="181"/>
      <c r="OTK214" s="181"/>
      <c r="OTL214" s="181"/>
      <c r="OTM214" s="181"/>
      <c r="OTN214" s="181"/>
      <c r="OTO214" s="181"/>
      <c r="OTP214" s="181"/>
      <c r="OTQ214" s="181"/>
      <c r="OTR214" s="181"/>
      <c r="OTS214" s="181"/>
      <c r="OTT214" s="181"/>
      <c r="OTU214" s="181"/>
      <c r="OTV214" s="181"/>
      <c r="OTW214" s="181"/>
      <c r="OTX214" s="181"/>
      <c r="OTY214" s="181"/>
      <c r="OTZ214" s="181"/>
      <c r="OUA214" s="181"/>
      <c r="OUB214" s="181"/>
      <c r="OUC214" s="181"/>
      <c r="OUD214" s="181"/>
      <c r="OUE214" s="181"/>
      <c r="OUF214" s="181"/>
      <c r="OUG214" s="181"/>
      <c r="OUH214" s="181"/>
      <c r="OUI214" s="181"/>
      <c r="OUJ214" s="181"/>
      <c r="OUK214" s="181"/>
      <c r="OUL214" s="181"/>
      <c r="OUM214" s="181"/>
      <c r="OUN214" s="181"/>
      <c r="OUO214" s="181"/>
      <c r="OUP214" s="181"/>
      <c r="OUQ214" s="181"/>
      <c r="OUR214" s="181"/>
      <c r="OUS214" s="181"/>
      <c r="OUT214" s="181"/>
      <c r="OUU214" s="181"/>
      <c r="OUV214" s="181"/>
      <c r="OUW214" s="181"/>
      <c r="OUX214" s="181"/>
      <c r="OUY214" s="181"/>
      <c r="OUZ214" s="181"/>
      <c r="OVA214" s="181"/>
      <c r="OVB214" s="181"/>
      <c r="OVC214" s="181"/>
      <c r="OVD214" s="181"/>
      <c r="OVE214" s="181"/>
      <c r="OVF214" s="181"/>
      <c r="OVG214" s="181"/>
      <c r="OVH214" s="181"/>
      <c r="OVI214" s="181"/>
      <c r="OVJ214" s="181"/>
      <c r="OVK214" s="181"/>
      <c r="OVL214" s="181"/>
      <c r="OVM214" s="181"/>
      <c r="OVN214" s="181"/>
      <c r="OVO214" s="181"/>
      <c r="OVP214" s="181"/>
      <c r="OVQ214" s="181"/>
      <c r="OVR214" s="181"/>
      <c r="OVS214" s="181"/>
      <c r="OVT214" s="181"/>
      <c r="OVU214" s="181"/>
      <c r="OVV214" s="181"/>
      <c r="OVW214" s="181"/>
      <c r="OVX214" s="181"/>
      <c r="OVY214" s="181"/>
      <c r="OVZ214" s="181"/>
      <c r="OWA214" s="181"/>
      <c r="OWB214" s="181"/>
      <c r="OWC214" s="181"/>
      <c r="OWD214" s="181"/>
      <c r="OWE214" s="181"/>
      <c r="OWF214" s="181"/>
      <c r="OWG214" s="181"/>
      <c r="OWH214" s="181"/>
      <c r="OWI214" s="181"/>
      <c r="OWJ214" s="181"/>
      <c r="OWK214" s="181"/>
      <c r="OWL214" s="181"/>
      <c r="OWM214" s="181"/>
      <c r="OWN214" s="181"/>
      <c r="OWO214" s="181"/>
      <c r="OWP214" s="181"/>
      <c r="OWQ214" s="181"/>
      <c r="OWR214" s="181"/>
      <c r="OWS214" s="181"/>
      <c r="OWT214" s="181"/>
      <c r="OWU214" s="181"/>
      <c r="OWV214" s="181"/>
      <c r="OWW214" s="181"/>
      <c r="OWX214" s="181"/>
      <c r="OWY214" s="181"/>
      <c r="OWZ214" s="181"/>
      <c r="OXA214" s="181"/>
      <c r="OXB214" s="181"/>
      <c r="OXC214" s="181"/>
      <c r="OXD214" s="181"/>
      <c r="OXE214" s="181"/>
      <c r="OXF214" s="181"/>
      <c r="OXG214" s="181"/>
      <c r="OXH214" s="181"/>
      <c r="OXI214" s="181"/>
      <c r="OXJ214" s="181"/>
      <c r="OXK214" s="181"/>
      <c r="OXL214" s="181"/>
      <c r="OXM214" s="181"/>
      <c r="OXN214" s="181"/>
      <c r="OXO214" s="181"/>
      <c r="OXP214" s="181"/>
      <c r="OXQ214" s="181"/>
      <c r="OXR214" s="181"/>
      <c r="OXS214" s="181"/>
      <c r="OXT214" s="181"/>
      <c r="OXU214" s="181"/>
      <c r="OXV214" s="181"/>
      <c r="OXW214" s="181"/>
      <c r="OXX214" s="181"/>
      <c r="OXY214" s="181"/>
      <c r="OXZ214" s="181"/>
      <c r="OYA214" s="181"/>
      <c r="OYB214" s="181"/>
      <c r="OYC214" s="181"/>
      <c r="OYD214" s="181"/>
      <c r="OYE214" s="181"/>
      <c r="OYF214" s="181"/>
      <c r="OYG214" s="181"/>
      <c r="OYH214" s="181"/>
      <c r="OYI214" s="181"/>
      <c r="OYJ214" s="181"/>
      <c r="OYK214" s="181"/>
      <c r="OYL214" s="181"/>
      <c r="OYM214" s="181"/>
      <c r="OYN214" s="181"/>
      <c r="OYO214" s="181"/>
      <c r="OYP214" s="181"/>
      <c r="OYQ214" s="181"/>
      <c r="OYR214" s="181"/>
      <c r="OYS214" s="181"/>
      <c r="OYT214" s="181"/>
      <c r="OYU214" s="181"/>
      <c r="OYV214" s="181"/>
      <c r="OYW214" s="181"/>
      <c r="OYX214" s="181"/>
      <c r="OYY214" s="181"/>
      <c r="OYZ214" s="181"/>
      <c r="OZA214" s="181"/>
      <c r="OZB214" s="181"/>
      <c r="OZC214" s="181"/>
      <c r="OZD214" s="181"/>
      <c r="OZE214" s="181"/>
      <c r="OZF214" s="181"/>
      <c r="OZG214" s="181"/>
      <c r="OZH214" s="181"/>
      <c r="OZI214" s="181"/>
      <c r="OZJ214" s="181"/>
      <c r="OZK214" s="181"/>
      <c r="OZL214" s="181"/>
      <c r="OZM214" s="181"/>
      <c r="OZN214" s="181"/>
      <c r="OZO214" s="181"/>
      <c r="OZP214" s="181"/>
      <c r="OZQ214" s="181"/>
      <c r="OZR214" s="181"/>
      <c r="OZS214" s="181"/>
      <c r="OZT214" s="181"/>
      <c r="OZU214" s="181"/>
      <c r="OZV214" s="181"/>
      <c r="OZW214" s="181"/>
      <c r="OZX214" s="181"/>
      <c r="OZY214" s="181"/>
      <c r="OZZ214" s="181"/>
      <c r="PAA214" s="181"/>
      <c r="PAB214" s="181"/>
      <c r="PAC214" s="181"/>
      <c r="PAD214" s="181"/>
      <c r="PAE214" s="181"/>
      <c r="PAF214" s="181"/>
      <c r="PAG214" s="181"/>
      <c r="PAH214" s="181"/>
      <c r="PAI214" s="181"/>
      <c r="PAJ214" s="181"/>
      <c r="PAK214" s="181"/>
      <c r="PAL214" s="181"/>
      <c r="PAM214" s="181"/>
      <c r="PAN214" s="181"/>
      <c r="PAO214" s="181"/>
      <c r="PAP214" s="181"/>
      <c r="PAQ214" s="181"/>
      <c r="PAR214" s="181"/>
      <c r="PAS214" s="181"/>
      <c r="PAT214" s="181"/>
      <c r="PAU214" s="181"/>
      <c r="PAV214" s="181"/>
      <c r="PAW214" s="181"/>
      <c r="PAX214" s="181"/>
      <c r="PAY214" s="181"/>
      <c r="PAZ214" s="181"/>
      <c r="PBA214" s="181"/>
      <c r="PBB214" s="181"/>
      <c r="PBC214" s="181"/>
      <c r="PBD214" s="181"/>
      <c r="PBE214" s="181"/>
      <c r="PBF214" s="181"/>
      <c r="PBG214" s="181"/>
      <c r="PBH214" s="181"/>
      <c r="PBI214" s="181"/>
      <c r="PBJ214" s="181"/>
      <c r="PBK214" s="181"/>
      <c r="PBL214" s="181"/>
      <c r="PBM214" s="181"/>
      <c r="PBN214" s="181"/>
      <c r="PBO214" s="181"/>
      <c r="PBP214" s="181"/>
      <c r="PBQ214" s="181"/>
      <c r="PBR214" s="181"/>
      <c r="PBS214" s="181"/>
      <c r="PBT214" s="181"/>
      <c r="PBU214" s="181"/>
      <c r="PBV214" s="181"/>
      <c r="PBW214" s="181"/>
      <c r="PBX214" s="181"/>
      <c r="PBY214" s="181"/>
      <c r="PBZ214" s="181"/>
      <c r="PCA214" s="181"/>
      <c r="PCB214" s="181"/>
      <c r="PCC214" s="181"/>
      <c r="PCD214" s="181"/>
      <c r="PCE214" s="181"/>
      <c r="PCF214" s="181"/>
      <c r="PCG214" s="181"/>
      <c r="PCH214" s="181"/>
      <c r="PCI214" s="181"/>
      <c r="PCJ214" s="181"/>
      <c r="PCK214" s="181"/>
      <c r="PCL214" s="181"/>
      <c r="PCM214" s="181"/>
      <c r="PCN214" s="181"/>
      <c r="PCO214" s="181"/>
      <c r="PCP214" s="181"/>
      <c r="PCQ214" s="181"/>
      <c r="PCR214" s="181"/>
      <c r="PCS214" s="181"/>
      <c r="PCT214" s="181"/>
      <c r="PCU214" s="181"/>
      <c r="PCV214" s="181"/>
      <c r="PCW214" s="181"/>
      <c r="PCX214" s="181"/>
      <c r="PCY214" s="181"/>
      <c r="PCZ214" s="181"/>
      <c r="PDA214" s="181"/>
      <c r="PDB214" s="181"/>
      <c r="PDC214" s="181"/>
      <c r="PDD214" s="181"/>
      <c r="PDE214" s="181"/>
      <c r="PDF214" s="181"/>
      <c r="PDG214" s="181"/>
      <c r="PDH214" s="181"/>
      <c r="PDI214" s="181"/>
      <c r="PDJ214" s="181"/>
      <c r="PDK214" s="181"/>
      <c r="PDL214" s="181"/>
      <c r="PDM214" s="181"/>
      <c r="PDN214" s="181"/>
      <c r="PDO214" s="181"/>
      <c r="PDP214" s="181"/>
      <c r="PDQ214" s="181"/>
      <c r="PDR214" s="181"/>
      <c r="PDS214" s="181"/>
      <c r="PDT214" s="181"/>
      <c r="PDU214" s="181"/>
      <c r="PDV214" s="181"/>
      <c r="PDW214" s="181"/>
      <c r="PDX214" s="181"/>
      <c r="PDY214" s="181"/>
      <c r="PDZ214" s="181"/>
      <c r="PEA214" s="181"/>
      <c r="PEB214" s="181"/>
      <c r="PEC214" s="181"/>
      <c r="PED214" s="181"/>
      <c r="PEE214" s="181"/>
      <c r="PEF214" s="181"/>
      <c r="PEG214" s="181"/>
      <c r="PEH214" s="181"/>
      <c r="PEI214" s="181"/>
      <c r="PEJ214" s="181"/>
      <c r="PEK214" s="181"/>
      <c r="PEL214" s="181"/>
      <c r="PEM214" s="181"/>
      <c r="PEN214" s="181"/>
      <c r="PEO214" s="181"/>
      <c r="PEP214" s="181"/>
      <c r="PEQ214" s="181"/>
      <c r="PER214" s="181"/>
      <c r="PES214" s="181"/>
      <c r="PET214" s="181"/>
      <c r="PEU214" s="181"/>
      <c r="PEV214" s="181"/>
      <c r="PEW214" s="181"/>
      <c r="PEX214" s="181"/>
      <c r="PEY214" s="181"/>
      <c r="PEZ214" s="181"/>
      <c r="PFA214" s="181"/>
      <c r="PFB214" s="181"/>
      <c r="PFC214" s="181"/>
      <c r="PFD214" s="181"/>
      <c r="PFE214" s="181"/>
      <c r="PFF214" s="181"/>
      <c r="PFG214" s="181"/>
      <c r="PFH214" s="181"/>
      <c r="PFI214" s="181"/>
      <c r="PFJ214" s="181"/>
      <c r="PFK214" s="181"/>
      <c r="PFL214" s="181"/>
      <c r="PFM214" s="181"/>
      <c r="PFN214" s="181"/>
      <c r="PFO214" s="181"/>
      <c r="PFP214" s="181"/>
      <c r="PFQ214" s="181"/>
      <c r="PFR214" s="181"/>
      <c r="PFS214" s="181"/>
      <c r="PFT214" s="181"/>
      <c r="PFU214" s="181"/>
      <c r="PFV214" s="181"/>
      <c r="PFW214" s="181"/>
      <c r="PFX214" s="181"/>
      <c r="PFY214" s="181"/>
      <c r="PFZ214" s="181"/>
      <c r="PGA214" s="181"/>
      <c r="PGB214" s="181"/>
      <c r="PGC214" s="181"/>
      <c r="PGD214" s="181"/>
      <c r="PGE214" s="181"/>
      <c r="PGF214" s="181"/>
      <c r="PGG214" s="181"/>
      <c r="PGH214" s="181"/>
      <c r="PGI214" s="181"/>
      <c r="PGJ214" s="181"/>
      <c r="PGK214" s="181"/>
      <c r="PGL214" s="181"/>
      <c r="PGM214" s="181"/>
      <c r="PGN214" s="181"/>
      <c r="PGO214" s="181"/>
      <c r="PGP214" s="181"/>
      <c r="PGQ214" s="181"/>
      <c r="PGR214" s="181"/>
      <c r="PGS214" s="181"/>
      <c r="PGT214" s="181"/>
      <c r="PGU214" s="181"/>
      <c r="PGV214" s="181"/>
      <c r="PGW214" s="181"/>
      <c r="PGX214" s="181"/>
      <c r="PGY214" s="181"/>
      <c r="PGZ214" s="181"/>
      <c r="PHA214" s="181"/>
      <c r="PHB214" s="181"/>
      <c r="PHC214" s="181"/>
      <c r="PHD214" s="181"/>
      <c r="PHE214" s="181"/>
      <c r="PHF214" s="181"/>
      <c r="PHG214" s="181"/>
      <c r="PHH214" s="181"/>
      <c r="PHI214" s="181"/>
      <c r="PHJ214" s="181"/>
      <c r="PHK214" s="181"/>
      <c r="PHL214" s="181"/>
      <c r="PHM214" s="181"/>
      <c r="PHN214" s="181"/>
      <c r="PHO214" s="181"/>
      <c r="PHP214" s="181"/>
      <c r="PHQ214" s="181"/>
      <c r="PHR214" s="181"/>
      <c r="PHS214" s="181"/>
      <c r="PHT214" s="181"/>
      <c r="PHU214" s="181"/>
      <c r="PHV214" s="181"/>
      <c r="PHW214" s="181"/>
      <c r="PHX214" s="181"/>
      <c r="PHY214" s="181"/>
      <c r="PHZ214" s="181"/>
      <c r="PIA214" s="181"/>
      <c r="PIB214" s="181"/>
      <c r="PIC214" s="181"/>
      <c r="PID214" s="181"/>
      <c r="PIE214" s="181"/>
      <c r="PIF214" s="181"/>
      <c r="PIG214" s="181"/>
      <c r="PIH214" s="181"/>
      <c r="PII214" s="181"/>
      <c r="PIJ214" s="181"/>
      <c r="PIK214" s="181"/>
      <c r="PIL214" s="181"/>
      <c r="PIM214" s="181"/>
      <c r="PIN214" s="181"/>
      <c r="PIO214" s="181"/>
      <c r="PIP214" s="181"/>
      <c r="PIQ214" s="181"/>
      <c r="PIR214" s="181"/>
      <c r="PIS214" s="181"/>
      <c r="PIT214" s="181"/>
      <c r="PIU214" s="181"/>
      <c r="PIV214" s="181"/>
      <c r="PIW214" s="181"/>
      <c r="PIX214" s="181"/>
      <c r="PIY214" s="181"/>
      <c r="PIZ214" s="181"/>
      <c r="PJA214" s="181"/>
      <c r="PJB214" s="181"/>
      <c r="PJC214" s="181"/>
      <c r="PJD214" s="181"/>
      <c r="PJE214" s="181"/>
      <c r="PJF214" s="181"/>
      <c r="PJG214" s="181"/>
      <c r="PJH214" s="181"/>
      <c r="PJI214" s="181"/>
      <c r="PJJ214" s="181"/>
      <c r="PJK214" s="181"/>
      <c r="PJL214" s="181"/>
      <c r="PJM214" s="181"/>
      <c r="PJN214" s="181"/>
      <c r="PJO214" s="181"/>
      <c r="PJP214" s="181"/>
      <c r="PJQ214" s="181"/>
      <c r="PJR214" s="181"/>
      <c r="PJS214" s="181"/>
      <c r="PJT214" s="181"/>
      <c r="PJU214" s="181"/>
      <c r="PJV214" s="181"/>
      <c r="PJW214" s="181"/>
      <c r="PJX214" s="181"/>
      <c r="PJY214" s="181"/>
      <c r="PJZ214" s="181"/>
      <c r="PKA214" s="181"/>
      <c r="PKB214" s="181"/>
      <c r="PKC214" s="181"/>
      <c r="PKD214" s="181"/>
      <c r="PKE214" s="181"/>
      <c r="PKF214" s="181"/>
      <c r="PKG214" s="181"/>
      <c r="PKH214" s="181"/>
      <c r="PKI214" s="181"/>
      <c r="PKJ214" s="181"/>
      <c r="PKK214" s="181"/>
      <c r="PKL214" s="181"/>
      <c r="PKM214" s="181"/>
      <c r="PKN214" s="181"/>
      <c r="PKO214" s="181"/>
      <c r="PKP214" s="181"/>
      <c r="PKQ214" s="181"/>
      <c r="PKR214" s="181"/>
      <c r="PKS214" s="181"/>
      <c r="PKT214" s="181"/>
      <c r="PKU214" s="181"/>
      <c r="PKV214" s="181"/>
      <c r="PKW214" s="181"/>
      <c r="PKX214" s="181"/>
      <c r="PKY214" s="181"/>
      <c r="PKZ214" s="181"/>
      <c r="PLA214" s="181"/>
      <c r="PLB214" s="181"/>
      <c r="PLC214" s="181"/>
      <c r="PLD214" s="181"/>
      <c r="PLE214" s="181"/>
      <c r="PLF214" s="181"/>
      <c r="PLG214" s="181"/>
      <c r="PLH214" s="181"/>
      <c r="PLI214" s="181"/>
      <c r="PLJ214" s="181"/>
      <c r="PLK214" s="181"/>
      <c r="PLL214" s="181"/>
      <c r="PLM214" s="181"/>
      <c r="PLN214" s="181"/>
      <c r="PLO214" s="181"/>
      <c r="PLP214" s="181"/>
      <c r="PLQ214" s="181"/>
      <c r="PLR214" s="181"/>
      <c r="PLS214" s="181"/>
      <c r="PLT214" s="181"/>
      <c r="PLU214" s="181"/>
      <c r="PLV214" s="181"/>
      <c r="PLW214" s="181"/>
      <c r="PLX214" s="181"/>
      <c r="PLY214" s="181"/>
      <c r="PLZ214" s="181"/>
      <c r="PMA214" s="181"/>
      <c r="PMB214" s="181"/>
      <c r="PMC214" s="181"/>
      <c r="PMD214" s="181"/>
      <c r="PME214" s="181"/>
      <c r="PMF214" s="181"/>
      <c r="PMG214" s="181"/>
      <c r="PMH214" s="181"/>
      <c r="PMI214" s="181"/>
      <c r="PMJ214" s="181"/>
      <c r="PMK214" s="181"/>
      <c r="PML214" s="181"/>
      <c r="PMM214" s="181"/>
      <c r="PMN214" s="181"/>
      <c r="PMO214" s="181"/>
      <c r="PMP214" s="181"/>
      <c r="PMQ214" s="181"/>
      <c r="PMR214" s="181"/>
      <c r="PMS214" s="181"/>
      <c r="PMT214" s="181"/>
      <c r="PMU214" s="181"/>
      <c r="PMV214" s="181"/>
      <c r="PMW214" s="181"/>
      <c r="PMX214" s="181"/>
      <c r="PMY214" s="181"/>
      <c r="PMZ214" s="181"/>
      <c r="PNA214" s="181"/>
      <c r="PNB214" s="181"/>
      <c r="PNC214" s="181"/>
      <c r="PND214" s="181"/>
      <c r="PNE214" s="181"/>
      <c r="PNF214" s="181"/>
      <c r="PNG214" s="181"/>
      <c r="PNH214" s="181"/>
      <c r="PNI214" s="181"/>
      <c r="PNJ214" s="181"/>
      <c r="PNK214" s="181"/>
      <c r="PNL214" s="181"/>
      <c r="PNM214" s="181"/>
      <c r="PNN214" s="181"/>
      <c r="PNO214" s="181"/>
      <c r="PNP214" s="181"/>
      <c r="PNQ214" s="181"/>
      <c r="PNR214" s="181"/>
      <c r="PNS214" s="181"/>
      <c r="PNT214" s="181"/>
      <c r="PNU214" s="181"/>
      <c r="PNV214" s="181"/>
      <c r="PNW214" s="181"/>
      <c r="PNX214" s="181"/>
      <c r="PNY214" s="181"/>
      <c r="PNZ214" s="181"/>
      <c r="POA214" s="181"/>
      <c r="POB214" s="181"/>
      <c r="POC214" s="181"/>
      <c r="POD214" s="181"/>
      <c r="POE214" s="181"/>
      <c r="POF214" s="181"/>
      <c r="POG214" s="181"/>
      <c r="POH214" s="181"/>
      <c r="POI214" s="181"/>
      <c r="POJ214" s="181"/>
      <c r="POK214" s="181"/>
      <c r="POL214" s="181"/>
      <c r="POM214" s="181"/>
      <c r="PON214" s="181"/>
      <c r="POO214" s="181"/>
      <c r="POP214" s="181"/>
      <c r="POQ214" s="181"/>
      <c r="POR214" s="181"/>
      <c r="POS214" s="181"/>
      <c r="POT214" s="181"/>
      <c r="POU214" s="181"/>
      <c r="POV214" s="181"/>
      <c r="POW214" s="181"/>
      <c r="POX214" s="181"/>
      <c r="POY214" s="181"/>
      <c r="POZ214" s="181"/>
      <c r="PPA214" s="181"/>
      <c r="PPB214" s="181"/>
      <c r="PPC214" s="181"/>
      <c r="PPD214" s="181"/>
      <c r="PPE214" s="181"/>
      <c r="PPF214" s="181"/>
      <c r="PPG214" s="181"/>
      <c r="PPH214" s="181"/>
      <c r="PPI214" s="181"/>
      <c r="PPJ214" s="181"/>
      <c r="PPK214" s="181"/>
      <c r="PPL214" s="181"/>
      <c r="PPM214" s="181"/>
      <c r="PPN214" s="181"/>
      <c r="PPO214" s="181"/>
      <c r="PPP214" s="181"/>
      <c r="PPQ214" s="181"/>
      <c r="PPR214" s="181"/>
      <c r="PPS214" s="181"/>
      <c r="PPT214" s="181"/>
      <c r="PPU214" s="181"/>
      <c r="PPV214" s="181"/>
      <c r="PPW214" s="181"/>
      <c r="PPX214" s="181"/>
      <c r="PPY214" s="181"/>
      <c r="PPZ214" s="181"/>
      <c r="PQA214" s="181"/>
      <c r="PQB214" s="181"/>
      <c r="PQC214" s="181"/>
      <c r="PQD214" s="181"/>
      <c r="PQE214" s="181"/>
      <c r="PQF214" s="181"/>
      <c r="PQG214" s="181"/>
      <c r="PQH214" s="181"/>
      <c r="PQI214" s="181"/>
      <c r="PQJ214" s="181"/>
      <c r="PQK214" s="181"/>
      <c r="PQL214" s="181"/>
      <c r="PQM214" s="181"/>
      <c r="PQN214" s="181"/>
      <c r="PQO214" s="181"/>
      <c r="PQP214" s="181"/>
      <c r="PQQ214" s="181"/>
      <c r="PQR214" s="181"/>
      <c r="PQS214" s="181"/>
      <c r="PQT214" s="181"/>
      <c r="PQU214" s="181"/>
      <c r="PQV214" s="181"/>
      <c r="PQW214" s="181"/>
      <c r="PQX214" s="181"/>
      <c r="PQY214" s="181"/>
      <c r="PQZ214" s="181"/>
      <c r="PRA214" s="181"/>
      <c r="PRB214" s="181"/>
      <c r="PRC214" s="181"/>
      <c r="PRD214" s="181"/>
      <c r="PRE214" s="181"/>
      <c r="PRF214" s="181"/>
      <c r="PRG214" s="181"/>
      <c r="PRH214" s="181"/>
      <c r="PRI214" s="181"/>
      <c r="PRJ214" s="181"/>
      <c r="PRK214" s="181"/>
      <c r="PRL214" s="181"/>
      <c r="PRM214" s="181"/>
      <c r="PRN214" s="181"/>
      <c r="PRO214" s="181"/>
      <c r="PRP214" s="181"/>
      <c r="PRQ214" s="181"/>
      <c r="PRR214" s="181"/>
      <c r="PRS214" s="181"/>
      <c r="PRT214" s="181"/>
      <c r="PRU214" s="181"/>
      <c r="PRV214" s="181"/>
      <c r="PRW214" s="181"/>
      <c r="PRX214" s="181"/>
      <c r="PRY214" s="181"/>
      <c r="PRZ214" s="181"/>
      <c r="PSA214" s="181"/>
      <c r="PSB214" s="181"/>
      <c r="PSC214" s="181"/>
      <c r="PSD214" s="181"/>
      <c r="PSE214" s="181"/>
      <c r="PSF214" s="181"/>
      <c r="PSG214" s="181"/>
      <c r="PSH214" s="181"/>
      <c r="PSI214" s="181"/>
      <c r="PSJ214" s="181"/>
      <c r="PSK214" s="181"/>
      <c r="PSL214" s="181"/>
      <c r="PSM214" s="181"/>
      <c r="PSN214" s="181"/>
      <c r="PSO214" s="181"/>
      <c r="PSP214" s="181"/>
      <c r="PSQ214" s="181"/>
      <c r="PSR214" s="181"/>
      <c r="PSS214" s="181"/>
      <c r="PST214" s="181"/>
      <c r="PSU214" s="181"/>
      <c r="PSV214" s="181"/>
      <c r="PSW214" s="181"/>
      <c r="PSX214" s="181"/>
      <c r="PSY214" s="181"/>
      <c r="PSZ214" s="181"/>
      <c r="PTA214" s="181"/>
      <c r="PTB214" s="181"/>
      <c r="PTC214" s="181"/>
      <c r="PTD214" s="181"/>
      <c r="PTE214" s="181"/>
      <c r="PTF214" s="181"/>
      <c r="PTG214" s="181"/>
      <c r="PTH214" s="181"/>
      <c r="PTI214" s="181"/>
      <c r="PTJ214" s="181"/>
      <c r="PTK214" s="181"/>
      <c r="PTL214" s="181"/>
      <c r="PTM214" s="181"/>
      <c r="PTN214" s="181"/>
      <c r="PTO214" s="181"/>
      <c r="PTP214" s="181"/>
      <c r="PTQ214" s="181"/>
      <c r="PTR214" s="181"/>
      <c r="PTS214" s="181"/>
      <c r="PTT214" s="181"/>
      <c r="PTU214" s="181"/>
      <c r="PTV214" s="181"/>
      <c r="PTW214" s="181"/>
      <c r="PTX214" s="181"/>
      <c r="PTY214" s="181"/>
      <c r="PTZ214" s="181"/>
      <c r="PUA214" s="181"/>
      <c r="PUB214" s="181"/>
      <c r="PUC214" s="181"/>
      <c r="PUD214" s="181"/>
      <c r="PUE214" s="181"/>
      <c r="PUF214" s="181"/>
      <c r="PUG214" s="181"/>
      <c r="PUH214" s="181"/>
      <c r="PUI214" s="181"/>
      <c r="PUJ214" s="181"/>
      <c r="PUK214" s="181"/>
      <c r="PUL214" s="181"/>
      <c r="PUM214" s="181"/>
      <c r="PUN214" s="181"/>
      <c r="PUO214" s="181"/>
      <c r="PUP214" s="181"/>
      <c r="PUQ214" s="181"/>
      <c r="PUR214" s="181"/>
      <c r="PUS214" s="181"/>
      <c r="PUT214" s="181"/>
      <c r="PUU214" s="181"/>
      <c r="PUV214" s="181"/>
      <c r="PUW214" s="181"/>
      <c r="PUX214" s="181"/>
      <c r="PUY214" s="181"/>
      <c r="PUZ214" s="181"/>
      <c r="PVA214" s="181"/>
      <c r="PVB214" s="181"/>
      <c r="PVC214" s="181"/>
      <c r="PVD214" s="181"/>
      <c r="PVE214" s="181"/>
      <c r="PVF214" s="181"/>
      <c r="PVG214" s="181"/>
      <c r="PVH214" s="181"/>
      <c r="PVI214" s="181"/>
      <c r="PVJ214" s="181"/>
      <c r="PVK214" s="181"/>
      <c r="PVL214" s="181"/>
      <c r="PVM214" s="181"/>
      <c r="PVN214" s="181"/>
      <c r="PVO214" s="181"/>
      <c r="PVP214" s="181"/>
      <c r="PVQ214" s="181"/>
      <c r="PVR214" s="181"/>
      <c r="PVS214" s="181"/>
      <c r="PVT214" s="181"/>
      <c r="PVU214" s="181"/>
      <c r="PVV214" s="181"/>
      <c r="PVW214" s="181"/>
      <c r="PVX214" s="181"/>
      <c r="PVY214" s="181"/>
      <c r="PVZ214" s="181"/>
      <c r="PWA214" s="181"/>
      <c r="PWB214" s="181"/>
      <c r="PWC214" s="181"/>
      <c r="PWD214" s="181"/>
      <c r="PWE214" s="181"/>
      <c r="PWF214" s="181"/>
      <c r="PWG214" s="181"/>
      <c r="PWH214" s="181"/>
      <c r="PWI214" s="181"/>
      <c r="PWJ214" s="181"/>
      <c r="PWK214" s="181"/>
      <c r="PWL214" s="181"/>
      <c r="PWM214" s="181"/>
      <c r="PWN214" s="181"/>
      <c r="PWO214" s="181"/>
      <c r="PWP214" s="181"/>
      <c r="PWQ214" s="181"/>
      <c r="PWR214" s="181"/>
      <c r="PWS214" s="181"/>
      <c r="PWT214" s="181"/>
      <c r="PWU214" s="181"/>
      <c r="PWV214" s="181"/>
      <c r="PWW214" s="181"/>
      <c r="PWX214" s="181"/>
      <c r="PWY214" s="181"/>
      <c r="PWZ214" s="181"/>
      <c r="PXA214" s="181"/>
      <c r="PXB214" s="181"/>
      <c r="PXC214" s="181"/>
      <c r="PXD214" s="181"/>
      <c r="PXE214" s="181"/>
      <c r="PXF214" s="181"/>
      <c r="PXG214" s="181"/>
      <c r="PXH214" s="181"/>
      <c r="PXI214" s="181"/>
      <c r="PXJ214" s="181"/>
      <c r="PXK214" s="181"/>
      <c r="PXL214" s="181"/>
      <c r="PXM214" s="181"/>
      <c r="PXN214" s="181"/>
      <c r="PXO214" s="181"/>
      <c r="PXP214" s="181"/>
      <c r="PXQ214" s="181"/>
      <c r="PXR214" s="181"/>
      <c r="PXS214" s="181"/>
      <c r="PXT214" s="181"/>
      <c r="PXU214" s="181"/>
      <c r="PXV214" s="181"/>
      <c r="PXW214" s="181"/>
      <c r="PXX214" s="181"/>
      <c r="PXY214" s="181"/>
      <c r="PXZ214" s="181"/>
      <c r="PYA214" s="181"/>
      <c r="PYB214" s="181"/>
      <c r="PYC214" s="181"/>
      <c r="PYD214" s="181"/>
      <c r="PYE214" s="181"/>
      <c r="PYF214" s="181"/>
      <c r="PYG214" s="181"/>
      <c r="PYH214" s="181"/>
      <c r="PYI214" s="181"/>
      <c r="PYJ214" s="181"/>
      <c r="PYK214" s="181"/>
      <c r="PYL214" s="181"/>
      <c r="PYM214" s="181"/>
      <c r="PYN214" s="181"/>
      <c r="PYO214" s="181"/>
      <c r="PYP214" s="181"/>
      <c r="PYQ214" s="181"/>
      <c r="PYR214" s="181"/>
      <c r="PYS214" s="181"/>
      <c r="PYT214" s="181"/>
      <c r="PYU214" s="181"/>
      <c r="PYV214" s="181"/>
      <c r="PYW214" s="181"/>
      <c r="PYX214" s="181"/>
      <c r="PYY214" s="181"/>
      <c r="PYZ214" s="181"/>
      <c r="PZA214" s="181"/>
      <c r="PZB214" s="181"/>
      <c r="PZC214" s="181"/>
      <c r="PZD214" s="181"/>
      <c r="PZE214" s="181"/>
      <c r="PZF214" s="181"/>
      <c r="PZG214" s="181"/>
      <c r="PZH214" s="181"/>
      <c r="PZI214" s="181"/>
      <c r="PZJ214" s="181"/>
      <c r="PZK214" s="181"/>
      <c r="PZL214" s="181"/>
      <c r="PZM214" s="181"/>
      <c r="PZN214" s="181"/>
      <c r="PZO214" s="181"/>
      <c r="PZP214" s="181"/>
      <c r="PZQ214" s="181"/>
      <c r="PZR214" s="181"/>
      <c r="PZS214" s="181"/>
      <c r="PZT214" s="181"/>
      <c r="PZU214" s="181"/>
      <c r="PZV214" s="181"/>
      <c r="PZW214" s="181"/>
      <c r="PZX214" s="181"/>
      <c r="PZY214" s="181"/>
      <c r="PZZ214" s="181"/>
      <c r="QAA214" s="181"/>
      <c r="QAB214" s="181"/>
      <c r="QAC214" s="181"/>
      <c r="QAD214" s="181"/>
      <c r="QAE214" s="181"/>
      <c r="QAF214" s="181"/>
      <c r="QAG214" s="181"/>
      <c r="QAH214" s="181"/>
      <c r="QAI214" s="181"/>
      <c r="QAJ214" s="181"/>
      <c r="QAK214" s="181"/>
      <c r="QAL214" s="181"/>
      <c r="QAM214" s="181"/>
      <c r="QAN214" s="181"/>
      <c r="QAO214" s="181"/>
      <c r="QAP214" s="181"/>
      <c r="QAQ214" s="181"/>
      <c r="QAR214" s="181"/>
      <c r="QAS214" s="181"/>
      <c r="QAT214" s="181"/>
      <c r="QAU214" s="181"/>
      <c r="QAV214" s="181"/>
      <c r="QAW214" s="181"/>
      <c r="QAX214" s="181"/>
      <c r="QAY214" s="181"/>
      <c r="QAZ214" s="181"/>
      <c r="QBA214" s="181"/>
      <c r="QBB214" s="181"/>
      <c r="QBC214" s="181"/>
      <c r="QBD214" s="181"/>
      <c r="QBE214" s="181"/>
      <c r="QBF214" s="181"/>
      <c r="QBG214" s="181"/>
      <c r="QBH214" s="181"/>
      <c r="QBI214" s="181"/>
      <c r="QBJ214" s="181"/>
      <c r="QBK214" s="181"/>
      <c r="QBL214" s="181"/>
      <c r="QBM214" s="181"/>
      <c r="QBN214" s="181"/>
      <c r="QBO214" s="181"/>
      <c r="QBP214" s="181"/>
      <c r="QBQ214" s="181"/>
      <c r="QBR214" s="181"/>
      <c r="QBS214" s="181"/>
      <c r="QBT214" s="181"/>
      <c r="QBU214" s="181"/>
      <c r="QBV214" s="181"/>
      <c r="QBW214" s="181"/>
      <c r="QBX214" s="181"/>
      <c r="QBY214" s="181"/>
      <c r="QBZ214" s="181"/>
      <c r="QCA214" s="181"/>
      <c r="QCB214" s="181"/>
      <c r="QCC214" s="181"/>
      <c r="QCD214" s="181"/>
      <c r="QCE214" s="181"/>
      <c r="QCF214" s="181"/>
      <c r="QCG214" s="181"/>
      <c r="QCH214" s="181"/>
      <c r="QCI214" s="181"/>
      <c r="QCJ214" s="181"/>
      <c r="QCK214" s="181"/>
      <c r="QCL214" s="181"/>
      <c r="QCM214" s="181"/>
      <c r="QCN214" s="181"/>
      <c r="QCO214" s="181"/>
      <c r="QCP214" s="181"/>
      <c r="QCQ214" s="181"/>
      <c r="QCR214" s="181"/>
      <c r="QCS214" s="181"/>
      <c r="QCT214" s="181"/>
      <c r="QCU214" s="181"/>
      <c r="QCV214" s="181"/>
      <c r="QCW214" s="181"/>
      <c r="QCX214" s="181"/>
      <c r="QCY214" s="181"/>
      <c r="QCZ214" s="181"/>
      <c r="QDA214" s="181"/>
      <c r="QDB214" s="181"/>
      <c r="QDC214" s="181"/>
      <c r="QDD214" s="181"/>
      <c r="QDE214" s="181"/>
      <c r="QDF214" s="181"/>
      <c r="QDG214" s="181"/>
      <c r="QDH214" s="181"/>
      <c r="QDI214" s="181"/>
      <c r="QDJ214" s="181"/>
      <c r="QDK214" s="181"/>
      <c r="QDL214" s="181"/>
      <c r="QDM214" s="181"/>
      <c r="QDN214" s="181"/>
      <c r="QDO214" s="181"/>
      <c r="QDP214" s="181"/>
      <c r="QDQ214" s="181"/>
      <c r="QDR214" s="181"/>
      <c r="QDS214" s="181"/>
      <c r="QDT214" s="181"/>
      <c r="QDU214" s="181"/>
      <c r="QDV214" s="181"/>
      <c r="QDW214" s="181"/>
      <c r="QDX214" s="181"/>
      <c r="QDY214" s="181"/>
      <c r="QDZ214" s="181"/>
      <c r="QEA214" s="181"/>
      <c r="QEB214" s="181"/>
      <c r="QEC214" s="181"/>
      <c r="QED214" s="181"/>
      <c r="QEE214" s="181"/>
      <c r="QEF214" s="181"/>
      <c r="QEG214" s="181"/>
      <c r="QEH214" s="181"/>
      <c r="QEI214" s="181"/>
      <c r="QEJ214" s="181"/>
      <c r="QEK214" s="181"/>
      <c r="QEL214" s="181"/>
      <c r="QEM214" s="181"/>
      <c r="QEN214" s="181"/>
      <c r="QEO214" s="181"/>
      <c r="QEP214" s="181"/>
      <c r="QEQ214" s="181"/>
      <c r="QER214" s="181"/>
      <c r="QES214" s="181"/>
      <c r="QET214" s="181"/>
      <c r="QEU214" s="181"/>
      <c r="QEV214" s="181"/>
      <c r="QEW214" s="181"/>
      <c r="QEX214" s="181"/>
      <c r="QEY214" s="181"/>
      <c r="QEZ214" s="181"/>
      <c r="QFA214" s="181"/>
      <c r="QFB214" s="181"/>
      <c r="QFC214" s="181"/>
      <c r="QFD214" s="181"/>
      <c r="QFE214" s="181"/>
      <c r="QFF214" s="181"/>
      <c r="QFG214" s="181"/>
      <c r="QFH214" s="181"/>
      <c r="QFI214" s="181"/>
      <c r="QFJ214" s="181"/>
      <c r="QFK214" s="181"/>
      <c r="QFL214" s="181"/>
      <c r="QFM214" s="181"/>
      <c r="QFN214" s="181"/>
      <c r="QFO214" s="181"/>
      <c r="QFP214" s="181"/>
      <c r="QFQ214" s="181"/>
      <c r="QFR214" s="181"/>
      <c r="QFS214" s="181"/>
      <c r="QFT214" s="181"/>
      <c r="QFU214" s="181"/>
      <c r="QFV214" s="181"/>
      <c r="QFW214" s="181"/>
      <c r="QFX214" s="181"/>
      <c r="QFY214" s="181"/>
      <c r="QFZ214" s="181"/>
      <c r="QGA214" s="181"/>
      <c r="QGB214" s="181"/>
      <c r="QGC214" s="181"/>
      <c r="QGD214" s="181"/>
      <c r="QGE214" s="181"/>
      <c r="QGF214" s="181"/>
      <c r="QGG214" s="181"/>
      <c r="QGH214" s="181"/>
      <c r="QGI214" s="181"/>
      <c r="QGJ214" s="181"/>
      <c r="QGK214" s="181"/>
      <c r="QGL214" s="181"/>
      <c r="QGM214" s="181"/>
      <c r="QGN214" s="181"/>
      <c r="QGO214" s="181"/>
      <c r="QGP214" s="181"/>
      <c r="QGQ214" s="181"/>
      <c r="QGR214" s="181"/>
      <c r="QGS214" s="181"/>
      <c r="QGT214" s="181"/>
      <c r="QGU214" s="181"/>
      <c r="QGV214" s="181"/>
      <c r="QGW214" s="181"/>
      <c r="QGX214" s="181"/>
      <c r="QGY214" s="181"/>
      <c r="QGZ214" s="181"/>
      <c r="QHA214" s="181"/>
      <c r="QHB214" s="181"/>
      <c r="QHC214" s="181"/>
      <c r="QHD214" s="181"/>
      <c r="QHE214" s="181"/>
      <c r="QHF214" s="181"/>
      <c r="QHG214" s="181"/>
      <c r="QHH214" s="181"/>
      <c r="QHI214" s="181"/>
      <c r="QHJ214" s="181"/>
      <c r="QHK214" s="181"/>
      <c r="QHL214" s="181"/>
      <c r="QHM214" s="181"/>
      <c r="QHN214" s="181"/>
      <c r="QHO214" s="181"/>
      <c r="QHP214" s="181"/>
      <c r="QHQ214" s="181"/>
      <c r="QHR214" s="181"/>
      <c r="QHS214" s="181"/>
      <c r="QHT214" s="181"/>
      <c r="QHU214" s="181"/>
      <c r="QHV214" s="181"/>
      <c r="QHW214" s="181"/>
      <c r="QHX214" s="181"/>
      <c r="QHY214" s="181"/>
      <c r="QHZ214" s="181"/>
      <c r="QIA214" s="181"/>
      <c r="QIB214" s="181"/>
      <c r="QIC214" s="181"/>
      <c r="QID214" s="181"/>
      <c r="QIE214" s="181"/>
      <c r="QIF214" s="181"/>
      <c r="QIG214" s="181"/>
      <c r="QIH214" s="181"/>
      <c r="QII214" s="181"/>
      <c r="QIJ214" s="181"/>
      <c r="QIK214" s="181"/>
      <c r="QIL214" s="181"/>
      <c r="QIM214" s="181"/>
      <c r="QIN214" s="181"/>
      <c r="QIO214" s="181"/>
      <c r="QIP214" s="181"/>
      <c r="QIQ214" s="181"/>
      <c r="QIR214" s="181"/>
      <c r="QIS214" s="181"/>
      <c r="QIT214" s="181"/>
      <c r="QIU214" s="181"/>
      <c r="QIV214" s="181"/>
      <c r="QIW214" s="181"/>
      <c r="QIX214" s="181"/>
      <c r="QIY214" s="181"/>
      <c r="QIZ214" s="181"/>
      <c r="QJA214" s="181"/>
      <c r="QJB214" s="181"/>
      <c r="QJC214" s="181"/>
      <c r="QJD214" s="181"/>
      <c r="QJE214" s="181"/>
      <c r="QJF214" s="181"/>
      <c r="QJG214" s="181"/>
      <c r="QJH214" s="181"/>
      <c r="QJI214" s="181"/>
      <c r="QJJ214" s="181"/>
      <c r="QJK214" s="181"/>
      <c r="QJL214" s="181"/>
      <c r="QJM214" s="181"/>
      <c r="QJN214" s="181"/>
      <c r="QJO214" s="181"/>
      <c r="QJP214" s="181"/>
      <c r="QJQ214" s="181"/>
      <c r="QJR214" s="181"/>
      <c r="QJS214" s="181"/>
      <c r="QJT214" s="181"/>
      <c r="QJU214" s="181"/>
      <c r="QJV214" s="181"/>
      <c r="QJW214" s="181"/>
      <c r="QJX214" s="181"/>
      <c r="QJY214" s="181"/>
      <c r="QJZ214" s="181"/>
      <c r="QKA214" s="181"/>
      <c r="QKB214" s="181"/>
      <c r="QKC214" s="181"/>
      <c r="QKD214" s="181"/>
      <c r="QKE214" s="181"/>
      <c r="QKF214" s="181"/>
      <c r="QKG214" s="181"/>
      <c r="QKH214" s="181"/>
      <c r="QKI214" s="181"/>
      <c r="QKJ214" s="181"/>
      <c r="QKK214" s="181"/>
      <c r="QKL214" s="181"/>
      <c r="QKM214" s="181"/>
      <c r="QKN214" s="181"/>
      <c r="QKO214" s="181"/>
      <c r="QKP214" s="181"/>
      <c r="QKQ214" s="181"/>
      <c r="QKR214" s="181"/>
      <c r="QKS214" s="181"/>
      <c r="QKT214" s="181"/>
      <c r="QKU214" s="181"/>
      <c r="QKV214" s="181"/>
      <c r="QKW214" s="181"/>
      <c r="QKX214" s="181"/>
      <c r="QKY214" s="181"/>
      <c r="QKZ214" s="181"/>
      <c r="QLA214" s="181"/>
      <c r="QLB214" s="181"/>
      <c r="QLC214" s="181"/>
      <c r="QLD214" s="181"/>
      <c r="QLE214" s="181"/>
      <c r="QLF214" s="181"/>
      <c r="QLG214" s="181"/>
      <c r="QLH214" s="181"/>
      <c r="QLI214" s="181"/>
      <c r="QLJ214" s="181"/>
      <c r="QLK214" s="181"/>
      <c r="QLL214" s="181"/>
      <c r="QLM214" s="181"/>
      <c r="QLN214" s="181"/>
      <c r="QLO214" s="181"/>
      <c r="QLP214" s="181"/>
      <c r="QLQ214" s="181"/>
      <c r="QLR214" s="181"/>
      <c r="QLS214" s="181"/>
      <c r="QLT214" s="181"/>
      <c r="QLU214" s="181"/>
      <c r="QLV214" s="181"/>
      <c r="QLW214" s="181"/>
      <c r="QLX214" s="181"/>
      <c r="QLY214" s="181"/>
      <c r="QLZ214" s="181"/>
      <c r="QMA214" s="181"/>
      <c r="QMB214" s="181"/>
      <c r="QMC214" s="181"/>
      <c r="QMD214" s="181"/>
      <c r="QME214" s="181"/>
      <c r="QMF214" s="181"/>
      <c r="QMG214" s="181"/>
      <c r="QMH214" s="181"/>
      <c r="QMI214" s="181"/>
      <c r="QMJ214" s="181"/>
      <c r="QMK214" s="181"/>
      <c r="QML214" s="181"/>
      <c r="QMM214" s="181"/>
      <c r="QMN214" s="181"/>
      <c r="QMO214" s="181"/>
      <c r="QMP214" s="181"/>
      <c r="QMQ214" s="181"/>
      <c r="QMR214" s="181"/>
      <c r="QMS214" s="181"/>
      <c r="QMT214" s="181"/>
      <c r="QMU214" s="181"/>
      <c r="QMV214" s="181"/>
      <c r="QMW214" s="181"/>
      <c r="QMX214" s="181"/>
      <c r="QMY214" s="181"/>
      <c r="QMZ214" s="181"/>
      <c r="QNA214" s="181"/>
      <c r="QNB214" s="181"/>
      <c r="QNC214" s="181"/>
      <c r="QND214" s="181"/>
      <c r="QNE214" s="181"/>
      <c r="QNF214" s="181"/>
      <c r="QNG214" s="181"/>
      <c r="QNH214" s="181"/>
      <c r="QNI214" s="181"/>
      <c r="QNJ214" s="181"/>
      <c r="QNK214" s="181"/>
      <c r="QNL214" s="181"/>
      <c r="QNM214" s="181"/>
      <c r="QNN214" s="181"/>
      <c r="QNO214" s="181"/>
      <c r="QNP214" s="181"/>
      <c r="QNQ214" s="181"/>
      <c r="QNR214" s="181"/>
      <c r="QNS214" s="181"/>
      <c r="QNT214" s="181"/>
      <c r="QNU214" s="181"/>
      <c r="QNV214" s="181"/>
      <c r="QNW214" s="181"/>
      <c r="QNX214" s="181"/>
      <c r="QNY214" s="181"/>
      <c r="QNZ214" s="181"/>
      <c r="QOA214" s="181"/>
      <c r="QOB214" s="181"/>
      <c r="QOC214" s="181"/>
      <c r="QOD214" s="181"/>
      <c r="QOE214" s="181"/>
      <c r="QOF214" s="181"/>
      <c r="QOG214" s="181"/>
      <c r="QOH214" s="181"/>
      <c r="QOI214" s="181"/>
      <c r="QOJ214" s="181"/>
      <c r="QOK214" s="181"/>
      <c r="QOL214" s="181"/>
      <c r="QOM214" s="181"/>
      <c r="QON214" s="181"/>
      <c r="QOO214" s="181"/>
      <c r="QOP214" s="181"/>
      <c r="QOQ214" s="181"/>
      <c r="QOR214" s="181"/>
      <c r="QOS214" s="181"/>
      <c r="QOT214" s="181"/>
      <c r="QOU214" s="181"/>
      <c r="QOV214" s="181"/>
      <c r="QOW214" s="181"/>
      <c r="QOX214" s="181"/>
      <c r="QOY214" s="181"/>
      <c r="QOZ214" s="181"/>
      <c r="QPA214" s="181"/>
      <c r="QPB214" s="181"/>
      <c r="QPC214" s="181"/>
      <c r="QPD214" s="181"/>
      <c r="QPE214" s="181"/>
      <c r="QPF214" s="181"/>
      <c r="QPG214" s="181"/>
      <c r="QPH214" s="181"/>
      <c r="QPI214" s="181"/>
      <c r="QPJ214" s="181"/>
      <c r="QPK214" s="181"/>
      <c r="QPL214" s="181"/>
      <c r="QPM214" s="181"/>
      <c r="QPN214" s="181"/>
      <c r="QPO214" s="181"/>
      <c r="QPP214" s="181"/>
      <c r="QPQ214" s="181"/>
      <c r="QPR214" s="181"/>
      <c r="QPS214" s="181"/>
      <c r="QPT214" s="181"/>
      <c r="QPU214" s="181"/>
      <c r="QPV214" s="181"/>
      <c r="QPW214" s="181"/>
      <c r="QPX214" s="181"/>
      <c r="QPY214" s="181"/>
      <c r="QPZ214" s="181"/>
      <c r="QQA214" s="181"/>
      <c r="QQB214" s="181"/>
      <c r="QQC214" s="181"/>
      <c r="QQD214" s="181"/>
      <c r="QQE214" s="181"/>
      <c r="QQF214" s="181"/>
      <c r="QQG214" s="181"/>
      <c r="QQH214" s="181"/>
      <c r="QQI214" s="181"/>
      <c r="QQJ214" s="181"/>
      <c r="QQK214" s="181"/>
      <c r="QQL214" s="181"/>
      <c r="QQM214" s="181"/>
      <c r="QQN214" s="181"/>
      <c r="QQO214" s="181"/>
      <c r="QQP214" s="181"/>
      <c r="QQQ214" s="181"/>
      <c r="QQR214" s="181"/>
      <c r="QQS214" s="181"/>
      <c r="QQT214" s="181"/>
      <c r="QQU214" s="181"/>
      <c r="QQV214" s="181"/>
      <c r="QQW214" s="181"/>
      <c r="QQX214" s="181"/>
      <c r="QQY214" s="181"/>
      <c r="QQZ214" s="181"/>
      <c r="QRA214" s="181"/>
      <c r="QRB214" s="181"/>
      <c r="QRC214" s="181"/>
      <c r="QRD214" s="181"/>
      <c r="QRE214" s="181"/>
      <c r="QRF214" s="181"/>
      <c r="QRG214" s="181"/>
      <c r="QRH214" s="181"/>
      <c r="QRI214" s="181"/>
      <c r="QRJ214" s="181"/>
      <c r="QRK214" s="181"/>
      <c r="QRL214" s="181"/>
      <c r="QRM214" s="181"/>
      <c r="QRN214" s="181"/>
      <c r="QRO214" s="181"/>
      <c r="QRP214" s="181"/>
      <c r="QRQ214" s="181"/>
      <c r="QRR214" s="181"/>
      <c r="QRS214" s="181"/>
      <c r="QRT214" s="181"/>
      <c r="QRU214" s="181"/>
      <c r="QRV214" s="181"/>
      <c r="QRW214" s="181"/>
      <c r="QRX214" s="181"/>
      <c r="QRY214" s="181"/>
      <c r="QRZ214" s="181"/>
      <c r="QSA214" s="181"/>
      <c r="QSB214" s="181"/>
      <c r="QSC214" s="181"/>
      <c r="QSD214" s="181"/>
      <c r="QSE214" s="181"/>
      <c r="QSF214" s="181"/>
      <c r="QSG214" s="181"/>
      <c r="QSH214" s="181"/>
      <c r="QSI214" s="181"/>
      <c r="QSJ214" s="181"/>
      <c r="QSK214" s="181"/>
      <c r="QSL214" s="181"/>
      <c r="QSM214" s="181"/>
      <c r="QSN214" s="181"/>
      <c r="QSO214" s="181"/>
      <c r="QSP214" s="181"/>
      <c r="QSQ214" s="181"/>
      <c r="QSR214" s="181"/>
      <c r="QSS214" s="181"/>
      <c r="QST214" s="181"/>
      <c r="QSU214" s="181"/>
      <c r="QSV214" s="181"/>
      <c r="QSW214" s="181"/>
      <c r="QSX214" s="181"/>
      <c r="QSY214" s="181"/>
      <c r="QSZ214" s="181"/>
      <c r="QTA214" s="181"/>
      <c r="QTB214" s="181"/>
      <c r="QTC214" s="181"/>
      <c r="QTD214" s="181"/>
      <c r="QTE214" s="181"/>
      <c r="QTF214" s="181"/>
      <c r="QTG214" s="181"/>
      <c r="QTH214" s="181"/>
      <c r="QTI214" s="181"/>
      <c r="QTJ214" s="181"/>
      <c r="QTK214" s="181"/>
      <c r="QTL214" s="181"/>
      <c r="QTM214" s="181"/>
      <c r="QTN214" s="181"/>
      <c r="QTO214" s="181"/>
      <c r="QTP214" s="181"/>
      <c r="QTQ214" s="181"/>
      <c r="QTR214" s="181"/>
      <c r="QTS214" s="181"/>
      <c r="QTT214" s="181"/>
      <c r="QTU214" s="181"/>
      <c r="QTV214" s="181"/>
      <c r="QTW214" s="181"/>
      <c r="QTX214" s="181"/>
      <c r="QTY214" s="181"/>
      <c r="QTZ214" s="181"/>
      <c r="QUA214" s="181"/>
      <c r="QUB214" s="181"/>
      <c r="QUC214" s="181"/>
      <c r="QUD214" s="181"/>
      <c r="QUE214" s="181"/>
      <c r="QUF214" s="181"/>
      <c r="QUG214" s="181"/>
      <c r="QUH214" s="181"/>
      <c r="QUI214" s="181"/>
      <c r="QUJ214" s="181"/>
      <c r="QUK214" s="181"/>
      <c r="QUL214" s="181"/>
      <c r="QUM214" s="181"/>
      <c r="QUN214" s="181"/>
      <c r="QUO214" s="181"/>
      <c r="QUP214" s="181"/>
      <c r="QUQ214" s="181"/>
      <c r="QUR214" s="181"/>
      <c r="QUS214" s="181"/>
      <c r="QUT214" s="181"/>
      <c r="QUU214" s="181"/>
      <c r="QUV214" s="181"/>
      <c r="QUW214" s="181"/>
      <c r="QUX214" s="181"/>
      <c r="QUY214" s="181"/>
      <c r="QUZ214" s="181"/>
      <c r="QVA214" s="181"/>
      <c r="QVB214" s="181"/>
      <c r="QVC214" s="181"/>
      <c r="QVD214" s="181"/>
      <c r="QVE214" s="181"/>
      <c r="QVF214" s="181"/>
      <c r="QVG214" s="181"/>
      <c r="QVH214" s="181"/>
      <c r="QVI214" s="181"/>
      <c r="QVJ214" s="181"/>
      <c r="QVK214" s="181"/>
      <c r="QVL214" s="181"/>
      <c r="QVM214" s="181"/>
      <c r="QVN214" s="181"/>
      <c r="QVO214" s="181"/>
      <c r="QVP214" s="181"/>
      <c r="QVQ214" s="181"/>
      <c r="QVR214" s="181"/>
      <c r="QVS214" s="181"/>
      <c r="QVT214" s="181"/>
      <c r="QVU214" s="181"/>
      <c r="QVV214" s="181"/>
      <c r="QVW214" s="181"/>
      <c r="QVX214" s="181"/>
      <c r="QVY214" s="181"/>
      <c r="QVZ214" s="181"/>
      <c r="QWA214" s="181"/>
      <c r="QWB214" s="181"/>
      <c r="QWC214" s="181"/>
      <c r="QWD214" s="181"/>
      <c r="QWE214" s="181"/>
      <c r="QWF214" s="181"/>
      <c r="QWG214" s="181"/>
      <c r="QWH214" s="181"/>
      <c r="QWI214" s="181"/>
      <c r="QWJ214" s="181"/>
      <c r="QWK214" s="181"/>
      <c r="QWL214" s="181"/>
      <c r="QWM214" s="181"/>
      <c r="QWN214" s="181"/>
      <c r="QWO214" s="181"/>
      <c r="QWP214" s="181"/>
      <c r="QWQ214" s="181"/>
      <c r="QWR214" s="181"/>
      <c r="QWS214" s="181"/>
      <c r="QWT214" s="181"/>
      <c r="QWU214" s="181"/>
      <c r="QWV214" s="181"/>
      <c r="QWW214" s="181"/>
      <c r="QWX214" s="181"/>
      <c r="QWY214" s="181"/>
      <c r="QWZ214" s="181"/>
      <c r="QXA214" s="181"/>
      <c r="QXB214" s="181"/>
      <c r="QXC214" s="181"/>
      <c r="QXD214" s="181"/>
      <c r="QXE214" s="181"/>
      <c r="QXF214" s="181"/>
      <c r="QXG214" s="181"/>
      <c r="QXH214" s="181"/>
      <c r="QXI214" s="181"/>
      <c r="QXJ214" s="181"/>
      <c r="QXK214" s="181"/>
      <c r="QXL214" s="181"/>
      <c r="QXM214" s="181"/>
      <c r="QXN214" s="181"/>
      <c r="QXO214" s="181"/>
      <c r="QXP214" s="181"/>
      <c r="QXQ214" s="181"/>
      <c r="QXR214" s="181"/>
      <c r="QXS214" s="181"/>
      <c r="QXT214" s="181"/>
      <c r="QXU214" s="181"/>
      <c r="QXV214" s="181"/>
      <c r="QXW214" s="181"/>
      <c r="QXX214" s="181"/>
      <c r="QXY214" s="181"/>
      <c r="QXZ214" s="181"/>
      <c r="QYA214" s="181"/>
      <c r="QYB214" s="181"/>
      <c r="QYC214" s="181"/>
      <c r="QYD214" s="181"/>
      <c r="QYE214" s="181"/>
      <c r="QYF214" s="181"/>
      <c r="QYG214" s="181"/>
      <c r="QYH214" s="181"/>
      <c r="QYI214" s="181"/>
      <c r="QYJ214" s="181"/>
      <c r="QYK214" s="181"/>
      <c r="QYL214" s="181"/>
      <c r="QYM214" s="181"/>
      <c r="QYN214" s="181"/>
      <c r="QYO214" s="181"/>
      <c r="QYP214" s="181"/>
      <c r="QYQ214" s="181"/>
      <c r="QYR214" s="181"/>
      <c r="QYS214" s="181"/>
      <c r="QYT214" s="181"/>
      <c r="QYU214" s="181"/>
      <c r="QYV214" s="181"/>
      <c r="QYW214" s="181"/>
      <c r="QYX214" s="181"/>
      <c r="QYY214" s="181"/>
      <c r="QYZ214" s="181"/>
      <c r="QZA214" s="181"/>
      <c r="QZB214" s="181"/>
      <c r="QZC214" s="181"/>
      <c r="QZD214" s="181"/>
      <c r="QZE214" s="181"/>
      <c r="QZF214" s="181"/>
      <c r="QZG214" s="181"/>
      <c r="QZH214" s="181"/>
      <c r="QZI214" s="181"/>
      <c r="QZJ214" s="181"/>
      <c r="QZK214" s="181"/>
      <c r="QZL214" s="181"/>
      <c r="QZM214" s="181"/>
      <c r="QZN214" s="181"/>
      <c r="QZO214" s="181"/>
      <c r="QZP214" s="181"/>
      <c r="QZQ214" s="181"/>
      <c r="QZR214" s="181"/>
      <c r="QZS214" s="181"/>
      <c r="QZT214" s="181"/>
      <c r="QZU214" s="181"/>
      <c r="QZV214" s="181"/>
      <c r="QZW214" s="181"/>
      <c r="QZX214" s="181"/>
      <c r="QZY214" s="181"/>
      <c r="QZZ214" s="181"/>
      <c r="RAA214" s="181"/>
      <c r="RAB214" s="181"/>
      <c r="RAC214" s="181"/>
      <c r="RAD214" s="181"/>
      <c r="RAE214" s="181"/>
      <c r="RAF214" s="181"/>
      <c r="RAG214" s="181"/>
      <c r="RAH214" s="181"/>
      <c r="RAI214" s="181"/>
      <c r="RAJ214" s="181"/>
      <c r="RAK214" s="181"/>
      <c r="RAL214" s="181"/>
      <c r="RAM214" s="181"/>
      <c r="RAN214" s="181"/>
      <c r="RAO214" s="181"/>
      <c r="RAP214" s="181"/>
      <c r="RAQ214" s="181"/>
      <c r="RAR214" s="181"/>
      <c r="RAS214" s="181"/>
      <c r="RAT214" s="181"/>
      <c r="RAU214" s="181"/>
      <c r="RAV214" s="181"/>
      <c r="RAW214" s="181"/>
      <c r="RAX214" s="181"/>
      <c r="RAY214" s="181"/>
      <c r="RAZ214" s="181"/>
      <c r="RBA214" s="181"/>
      <c r="RBB214" s="181"/>
      <c r="RBC214" s="181"/>
      <c r="RBD214" s="181"/>
      <c r="RBE214" s="181"/>
      <c r="RBF214" s="181"/>
      <c r="RBG214" s="181"/>
      <c r="RBH214" s="181"/>
      <c r="RBI214" s="181"/>
      <c r="RBJ214" s="181"/>
      <c r="RBK214" s="181"/>
      <c r="RBL214" s="181"/>
      <c r="RBM214" s="181"/>
      <c r="RBN214" s="181"/>
      <c r="RBO214" s="181"/>
      <c r="RBP214" s="181"/>
      <c r="RBQ214" s="181"/>
      <c r="RBR214" s="181"/>
      <c r="RBS214" s="181"/>
      <c r="RBT214" s="181"/>
      <c r="RBU214" s="181"/>
      <c r="RBV214" s="181"/>
      <c r="RBW214" s="181"/>
      <c r="RBX214" s="181"/>
      <c r="RBY214" s="181"/>
      <c r="RBZ214" s="181"/>
      <c r="RCA214" s="181"/>
      <c r="RCB214" s="181"/>
      <c r="RCC214" s="181"/>
      <c r="RCD214" s="181"/>
      <c r="RCE214" s="181"/>
      <c r="RCF214" s="181"/>
      <c r="RCG214" s="181"/>
      <c r="RCH214" s="181"/>
      <c r="RCI214" s="181"/>
      <c r="RCJ214" s="181"/>
      <c r="RCK214" s="181"/>
      <c r="RCL214" s="181"/>
      <c r="RCM214" s="181"/>
      <c r="RCN214" s="181"/>
      <c r="RCO214" s="181"/>
      <c r="RCP214" s="181"/>
      <c r="RCQ214" s="181"/>
      <c r="RCR214" s="181"/>
      <c r="RCS214" s="181"/>
      <c r="RCT214" s="181"/>
      <c r="RCU214" s="181"/>
      <c r="RCV214" s="181"/>
      <c r="RCW214" s="181"/>
      <c r="RCX214" s="181"/>
      <c r="RCY214" s="181"/>
      <c r="RCZ214" s="181"/>
      <c r="RDA214" s="181"/>
      <c r="RDB214" s="181"/>
      <c r="RDC214" s="181"/>
      <c r="RDD214" s="181"/>
      <c r="RDE214" s="181"/>
      <c r="RDF214" s="181"/>
      <c r="RDG214" s="181"/>
      <c r="RDH214" s="181"/>
      <c r="RDI214" s="181"/>
      <c r="RDJ214" s="181"/>
      <c r="RDK214" s="181"/>
      <c r="RDL214" s="181"/>
      <c r="RDM214" s="181"/>
      <c r="RDN214" s="181"/>
      <c r="RDO214" s="181"/>
      <c r="RDP214" s="181"/>
      <c r="RDQ214" s="181"/>
      <c r="RDR214" s="181"/>
      <c r="RDS214" s="181"/>
      <c r="RDT214" s="181"/>
      <c r="RDU214" s="181"/>
      <c r="RDV214" s="181"/>
      <c r="RDW214" s="181"/>
      <c r="RDX214" s="181"/>
      <c r="RDY214" s="181"/>
      <c r="RDZ214" s="181"/>
      <c r="REA214" s="181"/>
      <c r="REB214" s="181"/>
      <c r="REC214" s="181"/>
      <c r="RED214" s="181"/>
      <c r="REE214" s="181"/>
      <c r="REF214" s="181"/>
      <c r="REG214" s="181"/>
      <c r="REH214" s="181"/>
      <c r="REI214" s="181"/>
      <c r="REJ214" s="181"/>
      <c r="REK214" s="181"/>
      <c r="REL214" s="181"/>
      <c r="REM214" s="181"/>
      <c r="REN214" s="181"/>
      <c r="REO214" s="181"/>
      <c r="REP214" s="181"/>
      <c r="REQ214" s="181"/>
      <c r="RER214" s="181"/>
      <c r="RES214" s="181"/>
      <c r="RET214" s="181"/>
      <c r="REU214" s="181"/>
      <c r="REV214" s="181"/>
      <c r="REW214" s="181"/>
      <c r="REX214" s="181"/>
      <c r="REY214" s="181"/>
      <c r="REZ214" s="181"/>
      <c r="RFA214" s="181"/>
      <c r="RFB214" s="181"/>
      <c r="RFC214" s="181"/>
      <c r="RFD214" s="181"/>
      <c r="RFE214" s="181"/>
      <c r="RFF214" s="181"/>
      <c r="RFG214" s="181"/>
      <c r="RFH214" s="181"/>
      <c r="RFI214" s="181"/>
      <c r="RFJ214" s="181"/>
      <c r="RFK214" s="181"/>
      <c r="RFL214" s="181"/>
      <c r="RFM214" s="181"/>
      <c r="RFN214" s="181"/>
      <c r="RFO214" s="181"/>
      <c r="RFP214" s="181"/>
      <c r="RFQ214" s="181"/>
      <c r="RFR214" s="181"/>
      <c r="RFS214" s="181"/>
      <c r="RFT214" s="181"/>
      <c r="RFU214" s="181"/>
      <c r="RFV214" s="181"/>
      <c r="RFW214" s="181"/>
      <c r="RFX214" s="181"/>
      <c r="RFY214" s="181"/>
      <c r="RFZ214" s="181"/>
      <c r="RGA214" s="181"/>
      <c r="RGB214" s="181"/>
      <c r="RGC214" s="181"/>
      <c r="RGD214" s="181"/>
      <c r="RGE214" s="181"/>
      <c r="RGF214" s="181"/>
      <c r="RGG214" s="181"/>
      <c r="RGH214" s="181"/>
      <c r="RGI214" s="181"/>
      <c r="RGJ214" s="181"/>
      <c r="RGK214" s="181"/>
      <c r="RGL214" s="181"/>
      <c r="RGM214" s="181"/>
      <c r="RGN214" s="181"/>
      <c r="RGO214" s="181"/>
      <c r="RGP214" s="181"/>
      <c r="RGQ214" s="181"/>
      <c r="RGR214" s="181"/>
      <c r="RGS214" s="181"/>
      <c r="RGT214" s="181"/>
      <c r="RGU214" s="181"/>
      <c r="RGV214" s="181"/>
      <c r="RGW214" s="181"/>
      <c r="RGX214" s="181"/>
      <c r="RGY214" s="181"/>
      <c r="RGZ214" s="181"/>
      <c r="RHA214" s="181"/>
      <c r="RHB214" s="181"/>
      <c r="RHC214" s="181"/>
      <c r="RHD214" s="181"/>
      <c r="RHE214" s="181"/>
      <c r="RHF214" s="181"/>
      <c r="RHG214" s="181"/>
      <c r="RHH214" s="181"/>
      <c r="RHI214" s="181"/>
      <c r="RHJ214" s="181"/>
      <c r="RHK214" s="181"/>
      <c r="RHL214" s="181"/>
      <c r="RHM214" s="181"/>
      <c r="RHN214" s="181"/>
      <c r="RHO214" s="181"/>
      <c r="RHP214" s="181"/>
      <c r="RHQ214" s="181"/>
      <c r="RHR214" s="181"/>
      <c r="RHS214" s="181"/>
      <c r="RHT214" s="181"/>
      <c r="RHU214" s="181"/>
      <c r="RHV214" s="181"/>
      <c r="RHW214" s="181"/>
      <c r="RHX214" s="181"/>
      <c r="RHY214" s="181"/>
      <c r="RHZ214" s="181"/>
      <c r="RIA214" s="181"/>
      <c r="RIB214" s="181"/>
      <c r="RIC214" s="181"/>
      <c r="RID214" s="181"/>
      <c r="RIE214" s="181"/>
      <c r="RIF214" s="181"/>
      <c r="RIG214" s="181"/>
      <c r="RIH214" s="181"/>
      <c r="RII214" s="181"/>
      <c r="RIJ214" s="181"/>
      <c r="RIK214" s="181"/>
      <c r="RIL214" s="181"/>
      <c r="RIM214" s="181"/>
      <c r="RIN214" s="181"/>
      <c r="RIO214" s="181"/>
      <c r="RIP214" s="181"/>
      <c r="RIQ214" s="181"/>
      <c r="RIR214" s="181"/>
      <c r="RIS214" s="181"/>
      <c r="RIT214" s="181"/>
      <c r="RIU214" s="181"/>
      <c r="RIV214" s="181"/>
      <c r="RIW214" s="181"/>
      <c r="RIX214" s="181"/>
      <c r="RIY214" s="181"/>
      <c r="RIZ214" s="181"/>
      <c r="RJA214" s="181"/>
      <c r="RJB214" s="181"/>
      <c r="RJC214" s="181"/>
      <c r="RJD214" s="181"/>
      <c r="RJE214" s="181"/>
      <c r="RJF214" s="181"/>
      <c r="RJG214" s="181"/>
      <c r="RJH214" s="181"/>
      <c r="RJI214" s="181"/>
      <c r="RJJ214" s="181"/>
      <c r="RJK214" s="181"/>
      <c r="RJL214" s="181"/>
      <c r="RJM214" s="181"/>
      <c r="RJN214" s="181"/>
      <c r="RJO214" s="181"/>
      <c r="RJP214" s="181"/>
      <c r="RJQ214" s="181"/>
      <c r="RJR214" s="181"/>
      <c r="RJS214" s="181"/>
      <c r="RJT214" s="181"/>
      <c r="RJU214" s="181"/>
      <c r="RJV214" s="181"/>
      <c r="RJW214" s="181"/>
      <c r="RJX214" s="181"/>
      <c r="RJY214" s="181"/>
      <c r="RJZ214" s="181"/>
      <c r="RKA214" s="181"/>
      <c r="RKB214" s="181"/>
      <c r="RKC214" s="181"/>
      <c r="RKD214" s="181"/>
      <c r="RKE214" s="181"/>
      <c r="RKF214" s="181"/>
      <c r="RKG214" s="181"/>
      <c r="RKH214" s="181"/>
      <c r="RKI214" s="181"/>
      <c r="RKJ214" s="181"/>
      <c r="RKK214" s="181"/>
      <c r="RKL214" s="181"/>
      <c r="RKM214" s="181"/>
      <c r="RKN214" s="181"/>
      <c r="RKO214" s="181"/>
      <c r="RKP214" s="181"/>
      <c r="RKQ214" s="181"/>
      <c r="RKR214" s="181"/>
      <c r="RKS214" s="181"/>
      <c r="RKT214" s="181"/>
      <c r="RKU214" s="181"/>
      <c r="RKV214" s="181"/>
      <c r="RKW214" s="181"/>
      <c r="RKX214" s="181"/>
      <c r="RKY214" s="181"/>
      <c r="RKZ214" s="181"/>
      <c r="RLA214" s="181"/>
      <c r="RLB214" s="181"/>
      <c r="RLC214" s="181"/>
      <c r="RLD214" s="181"/>
      <c r="RLE214" s="181"/>
      <c r="RLF214" s="181"/>
      <c r="RLG214" s="181"/>
      <c r="RLH214" s="181"/>
      <c r="RLI214" s="181"/>
      <c r="RLJ214" s="181"/>
      <c r="RLK214" s="181"/>
      <c r="RLL214" s="181"/>
      <c r="RLM214" s="181"/>
      <c r="RLN214" s="181"/>
      <c r="RLO214" s="181"/>
      <c r="RLP214" s="181"/>
      <c r="RLQ214" s="181"/>
      <c r="RLR214" s="181"/>
      <c r="RLS214" s="181"/>
      <c r="RLT214" s="181"/>
      <c r="RLU214" s="181"/>
      <c r="RLV214" s="181"/>
      <c r="RLW214" s="181"/>
      <c r="RLX214" s="181"/>
      <c r="RLY214" s="181"/>
      <c r="RLZ214" s="181"/>
      <c r="RMA214" s="181"/>
      <c r="RMB214" s="181"/>
      <c r="RMC214" s="181"/>
      <c r="RMD214" s="181"/>
      <c r="RME214" s="181"/>
      <c r="RMF214" s="181"/>
      <c r="RMG214" s="181"/>
      <c r="RMH214" s="181"/>
      <c r="RMI214" s="181"/>
      <c r="RMJ214" s="181"/>
      <c r="RMK214" s="181"/>
      <c r="RML214" s="181"/>
      <c r="RMM214" s="181"/>
      <c r="RMN214" s="181"/>
      <c r="RMO214" s="181"/>
      <c r="RMP214" s="181"/>
      <c r="RMQ214" s="181"/>
      <c r="RMR214" s="181"/>
      <c r="RMS214" s="181"/>
      <c r="RMT214" s="181"/>
      <c r="RMU214" s="181"/>
      <c r="RMV214" s="181"/>
      <c r="RMW214" s="181"/>
      <c r="RMX214" s="181"/>
      <c r="RMY214" s="181"/>
      <c r="RMZ214" s="181"/>
      <c r="RNA214" s="181"/>
      <c r="RNB214" s="181"/>
      <c r="RNC214" s="181"/>
      <c r="RND214" s="181"/>
      <c r="RNE214" s="181"/>
      <c r="RNF214" s="181"/>
      <c r="RNG214" s="181"/>
      <c r="RNH214" s="181"/>
      <c r="RNI214" s="181"/>
      <c r="RNJ214" s="181"/>
      <c r="RNK214" s="181"/>
      <c r="RNL214" s="181"/>
      <c r="RNM214" s="181"/>
      <c r="RNN214" s="181"/>
      <c r="RNO214" s="181"/>
      <c r="RNP214" s="181"/>
      <c r="RNQ214" s="181"/>
      <c r="RNR214" s="181"/>
      <c r="RNS214" s="181"/>
      <c r="RNT214" s="181"/>
      <c r="RNU214" s="181"/>
      <c r="RNV214" s="181"/>
      <c r="RNW214" s="181"/>
      <c r="RNX214" s="181"/>
      <c r="RNY214" s="181"/>
      <c r="RNZ214" s="181"/>
      <c r="ROA214" s="181"/>
      <c r="ROB214" s="181"/>
      <c r="ROC214" s="181"/>
      <c r="ROD214" s="181"/>
      <c r="ROE214" s="181"/>
      <c r="ROF214" s="181"/>
      <c r="ROG214" s="181"/>
      <c r="ROH214" s="181"/>
      <c r="ROI214" s="181"/>
      <c r="ROJ214" s="181"/>
      <c r="ROK214" s="181"/>
      <c r="ROL214" s="181"/>
      <c r="ROM214" s="181"/>
      <c r="RON214" s="181"/>
      <c r="ROO214" s="181"/>
      <c r="ROP214" s="181"/>
      <c r="ROQ214" s="181"/>
      <c r="ROR214" s="181"/>
      <c r="ROS214" s="181"/>
      <c r="ROT214" s="181"/>
      <c r="ROU214" s="181"/>
      <c r="ROV214" s="181"/>
      <c r="ROW214" s="181"/>
      <c r="ROX214" s="181"/>
      <c r="ROY214" s="181"/>
      <c r="ROZ214" s="181"/>
      <c r="RPA214" s="181"/>
      <c r="RPB214" s="181"/>
      <c r="RPC214" s="181"/>
      <c r="RPD214" s="181"/>
      <c r="RPE214" s="181"/>
      <c r="RPF214" s="181"/>
      <c r="RPG214" s="181"/>
      <c r="RPH214" s="181"/>
      <c r="RPI214" s="181"/>
      <c r="RPJ214" s="181"/>
      <c r="RPK214" s="181"/>
      <c r="RPL214" s="181"/>
      <c r="RPM214" s="181"/>
      <c r="RPN214" s="181"/>
      <c r="RPO214" s="181"/>
      <c r="RPP214" s="181"/>
      <c r="RPQ214" s="181"/>
      <c r="RPR214" s="181"/>
      <c r="RPS214" s="181"/>
      <c r="RPT214" s="181"/>
      <c r="RPU214" s="181"/>
      <c r="RPV214" s="181"/>
      <c r="RPW214" s="181"/>
      <c r="RPX214" s="181"/>
      <c r="RPY214" s="181"/>
      <c r="RPZ214" s="181"/>
      <c r="RQA214" s="181"/>
      <c r="RQB214" s="181"/>
      <c r="RQC214" s="181"/>
      <c r="RQD214" s="181"/>
      <c r="RQE214" s="181"/>
      <c r="RQF214" s="181"/>
      <c r="RQG214" s="181"/>
      <c r="RQH214" s="181"/>
      <c r="RQI214" s="181"/>
      <c r="RQJ214" s="181"/>
      <c r="RQK214" s="181"/>
      <c r="RQL214" s="181"/>
      <c r="RQM214" s="181"/>
      <c r="RQN214" s="181"/>
      <c r="RQO214" s="181"/>
      <c r="RQP214" s="181"/>
      <c r="RQQ214" s="181"/>
      <c r="RQR214" s="181"/>
      <c r="RQS214" s="181"/>
      <c r="RQT214" s="181"/>
      <c r="RQU214" s="181"/>
      <c r="RQV214" s="181"/>
      <c r="RQW214" s="181"/>
      <c r="RQX214" s="181"/>
      <c r="RQY214" s="181"/>
      <c r="RQZ214" s="181"/>
      <c r="RRA214" s="181"/>
      <c r="RRB214" s="181"/>
      <c r="RRC214" s="181"/>
      <c r="RRD214" s="181"/>
      <c r="RRE214" s="181"/>
      <c r="RRF214" s="181"/>
      <c r="RRG214" s="181"/>
      <c r="RRH214" s="181"/>
      <c r="RRI214" s="181"/>
      <c r="RRJ214" s="181"/>
      <c r="RRK214" s="181"/>
      <c r="RRL214" s="181"/>
      <c r="RRM214" s="181"/>
      <c r="RRN214" s="181"/>
      <c r="RRO214" s="181"/>
      <c r="RRP214" s="181"/>
      <c r="RRQ214" s="181"/>
      <c r="RRR214" s="181"/>
      <c r="RRS214" s="181"/>
      <c r="RRT214" s="181"/>
      <c r="RRU214" s="181"/>
      <c r="RRV214" s="181"/>
      <c r="RRW214" s="181"/>
      <c r="RRX214" s="181"/>
      <c r="RRY214" s="181"/>
      <c r="RRZ214" s="181"/>
      <c r="RSA214" s="181"/>
      <c r="RSB214" s="181"/>
      <c r="RSC214" s="181"/>
      <c r="RSD214" s="181"/>
      <c r="RSE214" s="181"/>
      <c r="RSF214" s="181"/>
      <c r="RSG214" s="181"/>
      <c r="RSH214" s="181"/>
      <c r="RSI214" s="181"/>
      <c r="RSJ214" s="181"/>
      <c r="RSK214" s="181"/>
      <c r="RSL214" s="181"/>
      <c r="RSM214" s="181"/>
      <c r="RSN214" s="181"/>
      <c r="RSO214" s="181"/>
      <c r="RSP214" s="181"/>
      <c r="RSQ214" s="181"/>
      <c r="RSR214" s="181"/>
      <c r="RSS214" s="181"/>
      <c r="RST214" s="181"/>
      <c r="RSU214" s="181"/>
      <c r="RSV214" s="181"/>
      <c r="RSW214" s="181"/>
      <c r="RSX214" s="181"/>
      <c r="RSY214" s="181"/>
      <c r="RSZ214" s="181"/>
      <c r="RTA214" s="181"/>
      <c r="RTB214" s="181"/>
      <c r="RTC214" s="181"/>
      <c r="RTD214" s="181"/>
      <c r="RTE214" s="181"/>
      <c r="RTF214" s="181"/>
      <c r="RTG214" s="181"/>
      <c r="RTH214" s="181"/>
      <c r="RTI214" s="181"/>
      <c r="RTJ214" s="181"/>
      <c r="RTK214" s="181"/>
      <c r="RTL214" s="181"/>
      <c r="RTM214" s="181"/>
      <c r="RTN214" s="181"/>
      <c r="RTO214" s="181"/>
      <c r="RTP214" s="181"/>
      <c r="RTQ214" s="181"/>
      <c r="RTR214" s="181"/>
      <c r="RTS214" s="181"/>
      <c r="RTT214" s="181"/>
      <c r="RTU214" s="181"/>
      <c r="RTV214" s="181"/>
      <c r="RTW214" s="181"/>
      <c r="RTX214" s="181"/>
      <c r="RTY214" s="181"/>
      <c r="RTZ214" s="181"/>
      <c r="RUA214" s="181"/>
      <c r="RUB214" s="181"/>
      <c r="RUC214" s="181"/>
      <c r="RUD214" s="181"/>
      <c r="RUE214" s="181"/>
      <c r="RUF214" s="181"/>
      <c r="RUG214" s="181"/>
      <c r="RUH214" s="181"/>
      <c r="RUI214" s="181"/>
      <c r="RUJ214" s="181"/>
      <c r="RUK214" s="181"/>
      <c r="RUL214" s="181"/>
      <c r="RUM214" s="181"/>
      <c r="RUN214" s="181"/>
      <c r="RUO214" s="181"/>
      <c r="RUP214" s="181"/>
      <c r="RUQ214" s="181"/>
      <c r="RUR214" s="181"/>
      <c r="RUS214" s="181"/>
      <c r="RUT214" s="181"/>
      <c r="RUU214" s="181"/>
      <c r="RUV214" s="181"/>
      <c r="RUW214" s="181"/>
      <c r="RUX214" s="181"/>
      <c r="RUY214" s="181"/>
      <c r="RUZ214" s="181"/>
      <c r="RVA214" s="181"/>
      <c r="RVB214" s="181"/>
      <c r="RVC214" s="181"/>
      <c r="RVD214" s="181"/>
      <c r="RVE214" s="181"/>
      <c r="RVF214" s="181"/>
      <c r="RVG214" s="181"/>
      <c r="RVH214" s="181"/>
      <c r="RVI214" s="181"/>
      <c r="RVJ214" s="181"/>
      <c r="RVK214" s="181"/>
      <c r="RVL214" s="181"/>
      <c r="RVM214" s="181"/>
      <c r="RVN214" s="181"/>
      <c r="RVO214" s="181"/>
      <c r="RVP214" s="181"/>
      <c r="RVQ214" s="181"/>
      <c r="RVR214" s="181"/>
      <c r="RVS214" s="181"/>
      <c r="RVT214" s="181"/>
      <c r="RVU214" s="181"/>
      <c r="RVV214" s="181"/>
      <c r="RVW214" s="181"/>
      <c r="RVX214" s="181"/>
      <c r="RVY214" s="181"/>
      <c r="RVZ214" s="181"/>
      <c r="RWA214" s="181"/>
      <c r="RWB214" s="181"/>
      <c r="RWC214" s="181"/>
      <c r="RWD214" s="181"/>
      <c r="RWE214" s="181"/>
      <c r="RWF214" s="181"/>
      <c r="RWG214" s="181"/>
      <c r="RWH214" s="181"/>
      <c r="RWI214" s="181"/>
      <c r="RWJ214" s="181"/>
      <c r="RWK214" s="181"/>
      <c r="RWL214" s="181"/>
      <c r="RWM214" s="181"/>
      <c r="RWN214" s="181"/>
      <c r="RWO214" s="181"/>
      <c r="RWP214" s="181"/>
      <c r="RWQ214" s="181"/>
      <c r="RWR214" s="181"/>
      <c r="RWS214" s="181"/>
      <c r="RWT214" s="181"/>
      <c r="RWU214" s="181"/>
      <c r="RWV214" s="181"/>
      <c r="RWW214" s="181"/>
      <c r="RWX214" s="181"/>
      <c r="RWY214" s="181"/>
      <c r="RWZ214" s="181"/>
      <c r="RXA214" s="181"/>
      <c r="RXB214" s="181"/>
      <c r="RXC214" s="181"/>
      <c r="RXD214" s="181"/>
      <c r="RXE214" s="181"/>
      <c r="RXF214" s="181"/>
      <c r="RXG214" s="181"/>
      <c r="RXH214" s="181"/>
      <c r="RXI214" s="181"/>
      <c r="RXJ214" s="181"/>
      <c r="RXK214" s="181"/>
      <c r="RXL214" s="181"/>
      <c r="RXM214" s="181"/>
      <c r="RXN214" s="181"/>
      <c r="RXO214" s="181"/>
      <c r="RXP214" s="181"/>
      <c r="RXQ214" s="181"/>
      <c r="RXR214" s="181"/>
      <c r="RXS214" s="181"/>
      <c r="RXT214" s="181"/>
      <c r="RXU214" s="181"/>
      <c r="RXV214" s="181"/>
      <c r="RXW214" s="181"/>
      <c r="RXX214" s="181"/>
      <c r="RXY214" s="181"/>
      <c r="RXZ214" s="181"/>
      <c r="RYA214" s="181"/>
      <c r="RYB214" s="181"/>
      <c r="RYC214" s="181"/>
      <c r="RYD214" s="181"/>
      <c r="RYE214" s="181"/>
      <c r="RYF214" s="181"/>
      <c r="RYG214" s="181"/>
      <c r="RYH214" s="181"/>
      <c r="RYI214" s="181"/>
      <c r="RYJ214" s="181"/>
      <c r="RYK214" s="181"/>
      <c r="RYL214" s="181"/>
      <c r="RYM214" s="181"/>
      <c r="RYN214" s="181"/>
      <c r="RYO214" s="181"/>
      <c r="RYP214" s="181"/>
      <c r="RYQ214" s="181"/>
      <c r="RYR214" s="181"/>
      <c r="RYS214" s="181"/>
      <c r="RYT214" s="181"/>
      <c r="RYU214" s="181"/>
      <c r="RYV214" s="181"/>
      <c r="RYW214" s="181"/>
      <c r="RYX214" s="181"/>
      <c r="RYY214" s="181"/>
      <c r="RYZ214" s="181"/>
      <c r="RZA214" s="181"/>
      <c r="RZB214" s="181"/>
      <c r="RZC214" s="181"/>
      <c r="RZD214" s="181"/>
      <c r="RZE214" s="181"/>
      <c r="RZF214" s="181"/>
      <c r="RZG214" s="181"/>
      <c r="RZH214" s="181"/>
      <c r="RZI214" s="181"/>
      <c r="RZJ214" s="181"/>
      <c r="RZK214" s="181"/>
      <c r="RZL214" s="181"/>
      <c r="RZM214" s="181"/>
      <c r="RZN214" s="181"/>
      <c r="RZO214" s="181"/>
      <c r="RZP214" s="181"/>
      <c r="RZQ214" s="181"/>
      <c r="RZR214" s="181"/>
      <c r="RZS214" s="181"/>
      <c r="RZT214" s="181"/>
      <c r="RZU214" s="181"/>
      <c r="RZV214" s="181"/>
      <c r="RZW214" s="181"/>
      <c r="RZX214" s="181"/>
      <c r="RZY214" s="181"/>
      <c r="RZZ214" s="181"/>
      <c r="SAA214" s="181"/>
      <c r="SAB214" s="181"/>
      <c r="SAC214" s="181"/>
      <c r="SAD214" s="181"/>
      <c r="SAE214" s="181"/>
      <c r="SAF214" s="181"/>
      <c r="SAG214" s="181"/>
      <c r="SAH214" s="181"/>
      <c r="SAI214" s="181"/>
      <c r="SAJ214" s="181"/>
      <c r="SAK214" s="181"/>
      <c r="SAL214" s="181"/>
      <c r="SAM214" s="181"/>
      <c r="SAN214" s="181"/>
      <c r="SAO214" s="181"/>
      <c r="SAP214" s="181"/>
      <c r="SAQ214" s="181"/>
      <c r="SAR214" s="181"/>
      <c r="SAS214" s="181"/>
      <c r="SAT214" s="181"/>
      <c r="SAU214" s="181"/>
      <c r="SAV214" s="181"/>
      <c r="SAW214" s="181"/>
      <c r="SAX214" s="181"/>
      <c r="SAY214" s="181"/>
      <c r="SAZ214" s="181"/>
      <c r="SBA214" s="181"/>
      <c r="SBB214" s="181"/>
      <c r="SBC214" s="181"/>
      <c r="SBD214" s="181"/>
      <c r="SBE214" s="181"/>
      <c r="SBF214" s="181"/>
      <c r="SBG214" s="181"/>
      <c r="SBH214" s="181"/>
      <c r="SBI214" s="181"/>
      <c r="SBJ214" s="181"/>
      <c r="SBK214" s="181"/>
      <c r="SBL214" s="181"/>
      <c r="SBM214" s="181"/>
      <c r="SBN214" s="181"/>
      <c r="SBO214" s="181"/>
      <c r="SBP214" s="181"/>
      <c r="SBQ214" s="181"/>
      <c r="SBR214" s="181"/>
      <c r="SBS214" s="181"/>
      <c r="SBT214" s="181"/>
      <c r="SBU214" s="181"/>
      <c r="SBV214" s="181"/>
      <c r="SBW214" s="181"/>
      <c r="SBX214" s="181"/>
      <c r="SBY214" s="181"/>
      <c r="SBZ214" s="181"/>
      <c r="SCA214" s="181"/>
      <c r="SCB214" s="181"/>
      <c r="SCC214" s="181"/>
      <c r="SCD214" s="181"/>
      <c r="SCE214" s="181"/>
      <c r="SCF214" s="181"/>
      <c r="SCG214" s="181"/>
      <c r="SCH214" s="181"/>
      <c r="SCI214" s="181"/>
      <c r="SCJ214" s="181"/>
      <c r="SCK214" s="181"/>
      <c r="SCL214" s="181"/>
      <c r="SCM214" s="181"/>
      <c r="SCN214" s="181"/>
      <c r="SCO214" s="181"/>
      <c r="SCP214" s="181"/>
      <c r="SCQ214" s="181"/>
      <c r="SCR214" s="181"/>
      <c r="SCS214" s="181"/>
      <c r="SCT214" s="181"/>
      <c r="SCU214" s="181"/>
      <c r="SCV214" s="181"/>
      <c r="SCW214" s="181"/>
      <c r="SCX214" s="181"/>
      <c r="SCY214" s="181"/>
      <c r="SCZ214" s="181"/>
      <c r="SDA214" s="181"/>
      <c r="SDB214" s="181"/>
      <c r="SDC214" s="181"/>
      <c r="SDD214" s="181"/>
      <c r="SDE214" s="181"/>
      <c r="SDF214" s="181"/>
      <c r="SDG214" s="181"/>
      <c r="SDH214" s="181"/>
      <c r="SDI214" s="181"/>
      <c r="SDJ214" s="181"/>
      <c r="SDK214" s="181"/>
      <c r="SDL214" s="181"/>
      <c r="SDM214" s="181"/>
      <c r="SDN214" s="181"/>
      <c r="SDO214" s="181"/>
      <c r="SDP214" s="181"/>
      <c r="SDQ214" s="181"/>
      <c r="SDR214" s="181"/>
      <c r="SDS214" s="181"/>
      <c r="SDT214" s="181"/>
      <c r="SDU214" s="181"/>
      <c r="SDV214" s="181"/>
      <c r="SDW214" s="181"/>
      <c r="SDX214" s="181"/>
      <c r="SDY214" s="181"/>
      <c r="SDZ214" s="181"/>
      <c r="SEA214" s="181"/>
      <c r="SEB214" s="181"/>
      <c r="SEC214" s="181"/>
      <c r="SED214" s="181"/>
      <c r="SEE214" s="181"/>
      <c r="SEF214" s="181"/>
      <c r="SEG214" s="181"/>
      <c r="SEH214" s="181"/>
      <c r="SEI214" s="181"/>
      <c r="SEJ214" s="181"/>
      <c r="SEK214" s="181"/>
      <c r="SEL214" s="181"/>
      <c r="SEM214" s="181"/>
      <c r="SEN214" s="181"/>
      <c r="SEO214" s="181"/>
      <c r="SEP214" s="181"/>
      <c r="SEQ214" s="181"/>
      <c r="SER214" s="181"/>
      <c r="SES214" s="181"/>
      <c r="SET214" s="181"/>
      <c r="SEU214" s="181"/>
      <c r="SEV214" s="181"/>
      <c r="SEW214" s="181"/>
      <c r="SEX214" s="181"/>
      <c r="SEY214" s="181"/>
      <c r="SEZ214" s="181"/>
      <c r="SFA214" s="181"/>
      <c r="SFB214" s="181"/>
      <c r="SFC214" s="181"/>
      <c r="SFD214" s="181"/>
      <c r="SFE214" s="181"/>
      <c r="SFF214" s="181"/>
      <c r="SFG214" s="181"/>
      <c r="SFH214" s="181"/>
      <c r="SFI214" s="181"/>
      <c r="SFJ214" s="181"/>
      <c r="SFK214" s="181"/>
      <c r="SFL214" s="181"/>
      <c r="SFM214" s="181"/>
      <c r="SFN214" s="181"/>
      <c r="SFO214" s="181"/>
      <c r="SFP214" s="181"/>
      <c r="SFQ214" s="181"/>
      <c r="SFR214" s="181"/>
      <c r="SFS214" s="181"/>
      <c r="SFT214" s="181"/>
      <c r="SFU214" s="181"/>
      <c r="SFV214" s="181"/>
      <c r="SFW214" s="181"/>
      <c r="SFX214" s="181"/>
      <c r="SFY214" s="181"/>
      <c r="SFZ214" s="181"/>
      <c r="SGA214" s="181"/>
      <c r="SGB214" s="181"/>
      <c r="SGC214" s="181"/>
      <c r="SGD214" s="181"/>
      <c r="SGE214" s="181"/>
      <c r="SGF214" s="181"/>
      <c r="SGG214" s="181"/>
      <c r="SGH214" s="181"/>
      <c r="SGI214" s="181"/>
      <c r="SGJ214" s="181"/>
      <c r="SGK214" s="181"/>
      <c r="SGL214" s="181"/>
      <c r="SGM214" s="181"/>
      <c r="SGN214" s="181"/>
      <c r="SGO214" s="181"/>
      <c r="SGP214" s="181"/>
      <c r="SGQ214" s="181"/>
      <c r="SGR214" s="181"/>
      <c r="SGS214" s="181"/>
      <c r="SGT214" s="181"/>
      <c r="SGU214" s="181"/>
      <c r="SGV214" s="181"/>
      <c r="SGW214" s="181"/>
      <c r="SGX214" s="181"/>
      <c r="SGY214" s="181"/>
      <c r="SGZ214" s="181"/>
      <c r="SHA214" s="181"/>
      <c r="SHB214" s="181"/>
      <c r="SHC214" s="181"/>
      <c r="SHD214" s="181"/>
      <c r="SHE214" s="181"/>
      <c r="SHF214" s="181"/>
      <c r="SHG214" s="181"/>
      <c r="SHH214" s="181"/>
      <c r="SHI214" s="181"/>
      <c r="SHJ214" s="181"/>
      <c r="SHK214" s="181"/>
      <c r="SHL214" s="181"/>
      <c r="SHM214" s="181"/>
      <c r="SHN214" s="181"/>
      <c r="SHO214" s="181"/>
      <c r="SHP214" s="181"/>
      <c r="SHQ214" s="181"/>
      <c r="SHR214" s="181"/>
      <c r="SHS214" s="181"/>
      <c r="SHT214" s="181"/>
      <c r="SHU214" s="181"/>
      <c r="SHV214" s="181"/>
      <c r="SHW214" s="181"/>
      <c r="SHX214" s="181"/>
      <c r="SHY214" s="181"/>
      <c r="SHZ214" s="181"/>
      <c r="SIA214" s="181"/>
      <c r="SIB214" s="181"/>
      <c r="SIC214" s="181"/>
      <c r="SID214" s="181"/>
      <c r="SIE214" s="181"/>
      <c r="SIF214" s="181"/>
      <c r="SIG214" s="181"/>
      <c r="SIH214" s="181"/>
      <c r="SII214" s="181"/>
      <c r="SIJ214" s="181"/>
      <c r="SIK214" s="181"/>
      <c r="SIL214" s="181"/>
      <c r="SIM214" s="181"/>
      <c r="SIN214" s="181"/>
      <c r="SIO214" s="181"/>
      <c r="SIP214" s="181"/>
      <c r="SIQ214" s="181"/>
      <c r="SIR214" s="181"/>
      <c r="SIS214" s="181"/>
      <c r="SIT214" s="181"/>
      <c r="SIU214" s="181"/>
      <c r="SIV214" s="181"/>
      <c r="SIW214" s="181"/>
      <c r="SIX214" s="181"/>
      <c r="SIY214" s="181"/>
      <c r="SIZ214" s="181"/>
      <c r="SJA214" s="181"/>
      <c r="SJB214" s="181"/>
      <c r="SJC214" s="181"/>
      <c r="SJD214" s="181"/>
      <c r="SJE214" s="181"/>
      <c r="SJF214" s="181"/>
      <c r="SJG214" s="181"/>
      <c r="SJH214" s="181"/>
      <c r="SJI214" s="181"/>
      <c r="SJJ214" s="181"/>
      <c r="SJK214" s="181"/>
      <c r="SJL214" s="181"/>
      <c r="SJM214" s="181"/>
      <c r="SJN214" s="181"/>
      <c r="SJO214" s="181"/>
      <c r="SJP214" s="181"/>
      <c r="SJQ214" s="181"/>
      <c r="SJR214" s="181"/>
      <c r="SJS214" s="181"/>
      <c r="SJT214" s="181"/>
      <c r="SJU214" s="181"/>
      <c r="SJV214" s="181"/>
      <c r="SJW214" s="181"/>
      <c r="SJX214" s="181"/>
      <c r="SJY214" s="181"/>
      <c r="SJZ214" s="181"/>
      <c r="SKA214" s="181"/>
      <c r="SKB214" s="181"/>
      <c r="SKC214" s="181"/>
      <c r="SKD214" s="181"/>
      <c r="SKE214" s="181"/>
      <c r="SKF214" s="181"/>
      <c r="SKG214" s="181"/>
      <c r="SKH214" s="181"/>
      <c r="SKI214" s="181"/>
      <c r="SKJ214" s="181"/>
      <c r="SKK214" s="181"/>
      <c r="SKL214" s="181"/>
      <c r="SKM214" s="181"/>
      <c r="SKN214" s="181"/>
      <c r="SKO214" s="181"/>
      <c r="SKP214" s="181"/>
      <c r="SKQ214" s="181"/>
      <c r="SKR214" s="181"/>
      <c r="SKS214" s="181"/>
      <c r="SKT214" s="181"/>
      <c r="SKU214" s="181"/>
      <c r="SKV214" s="181"/>
      <c r="SKW214" s="181"/>
      <c r="SKX214" s="181"/>
      <c r="SKY214" s="181"/>
      <c r="SKZ214" s="181"/>
      <c r="SLA214" s="181"/>
      <c r="SLB214" s="181"/>
      <c r="SLC214" s="181"/>
      <c r="SLD214" s="181"/>
      <c r="SLE214" s="181"/>
      <c r="SLF214" s="181"/>
      <c r="SLG214" s="181"/>
      <c r="SLH214" s="181"/>
      <c r="SLI214" s="181"/>
      <c r="SLJ214" s="181"/>
      <c r="SLK214" s="181"/>
      <c r="SLL214" s="181"/>
      <c r="SLM214" s="181"/>
      <c r="SLN214" s="181"/>
      <c r="SLO214" s="181"/>
      <c r="SLP214" s="181"/>
      <c r="SLQ214" s="181"/>
      <c r="SLR214" s="181"/>
      <c r="SLS214" s="181"/>
      <c r="SLT214" s="181"/>
      <c r="SLU214" s="181"/>
      <c r="SLV214" s="181"/>
      <c r="SLW214" s="181"/>
      <c r="SLX214" s="181"/>
      <c r="SLY214" s="181"/>
      <c r="SLZ214" s="181"/>
      <c r="SMA214" s="181"/>
      <c r="SMB214" s="181"/>
      <c r="SMC214" s="181"/>
      <c r="SMD214" s="181"/>
      <c r="SME214" s="181"/>
      <c r="SMF214" s="181"/>
      <c r="SMG214" s="181"/>
      <c r="SMH214" s="181"/>
      <c r="SMI214" s="181"/>
      <c r="SMJ214" s="181"/>
      <c r="SMK214" s="181"/>
      <c r="SML214" s="181"/>
      <c r="SMM214" s="181"/>
      <c r="SMN214" s="181"/>
      <c r="SMO214" s="181"/>
      <c r="SMP214" s="181"/>
      <c r="SMQ214" s="181"/>
      <c r="SMR214" s="181"/>
      <c r="SMS214" s="181"/>
      <c r="SMT214" s="181"/>
      <c r="SMU214" s="181"/>
      <c r="SMV214" s="181"/>
      <c r="SMW214" s="181"/>
      <c r="SMX214" s="181"/>
      <c r="SMY214" s="181"/>
      <c r="SMZ214" s="181"/>
      <c r="SNA214" s="181"/>
      <c r="SNB214" s="181"/>
      <c r="SNC214" s="181"/>
      <c r="SND214" s="181"/>
      <c r="SNE214" s="181"/>
      <c r="SNF214" s="181"/>
      <c r="SNG214" s="181"/>
      <c r="SNH214" s="181"/>
      <c r="SNI214" s="181"/>
      <c r="SNJ214" s="181"/>
      <c r="SNK214" s="181"/>
      <c r="SNL214" s="181"/>
      <c r="SNM214" s="181"/>
      <c r="SNN214" s="181"/>
      <c r="SNO214" s="181"/>
      <c r="SNP214" s="181"/>
      <c r="SNQ214" s="181"/>
      <c r="SNR214" s="181"/>
      <c r="SNS214" s="181"/>
      <c r="SNT214" s="181"/>
      <c r="SNU214" s="181"/>
      <c r="SNV214" s="181"/>
      <c r="SNW214" s="181"/>
      <c r="SNX214" s="181"/>
      <c r="SNY214" s="181"/>
      <c r="SNZ214" s="181"/>
      <c r="SOA214" s="181"/>
      <c r="SOB214" s="181"/>
      <c r="SOC214" s="181"/>
      <c r="SOD214" s="181"/>
      <c r="SOE214" s="181"/>
      <c r="SOF214" s="181"/>
      <c r="SOG214" s="181"/>
      <c r="SOH214" s="181"/>
      <c r="SOI214" s="181"/>
      <c r="SOJ214" s="181"/>
      <c r="SOK214" s="181"/>
      <c r="SOL214" s="181"/>
      <c r="SOM214" s="181"/>
      <c r="SON214" s="181"/>
      <c r="SOO214" s="181"/>
      <c r="SOP214" s="181"/>
      <c r="SOQ214" s="181"/>
      <c r="SOR214" s="181"/>
      <c r="SOS214" s="181"/>
      <c r="SOT214" s="181"/>
      <c r="SOU214" s="181"/>
      <c r="SOV214" s="181"/>
      <c r="SOW214" s="181"/>
      <c r="SOX214" s="181"/>
      <c r="SOY214" s="181"/>
      <c r="SOZ214" s="181"/>
      <c r="SPA214" s="181"/>
      <c r="SPB214" s="181"/>
      <c r="SPC214" s="181"/>
      <c r="SPD214" s="181"/>
      <c r="SPE214" s="181"/>
      <c r="SPF214" s="181"/>
      <c r="SPG214" s="181"/>
      <c r="SPH214" s="181"/>
      <c r="SPI214" s="181"/>
      <c r="SPJ214" s="181"/>
      <c r="SPK214" s="181"/>
      <c r="SPL214" s="181"/>
      <c r="SPM214" s="181"/>
      <c r="SPN214" s="181"/>
      <c r="SPO214" s="181"/>
      <c r="SPP214" s="181"/>
      <c r="SPQ214" s="181"/>
      <c r="SPR214" s="181"/>
      <c r="SPS214" s="181"/>
      <c r="SPT214" s="181"/>
      <c r="SPU214" s="181"/>
      <c r="SPV214" s="181"/>
      <c r="SPW214" s="181"/>
      <c r="SPX214" s="181"/>
      <c r="SPY214" s="181"/>
      <c r="SPZ214" s="181"/>
      <c r="SQA214" s="181"/>
      <c r="SQB214" s="181"/>
      <c r="SQC214" s="181"/>
      <c r="SQD214" s="181"/>
      <c r="SQE214" s="181"/>
      <c r="SQF214" s="181"/>
      <c r="SQG214" s="181"/>
      <c r="SQH214" s="181"/>
      <c r="SQI214" s="181"/>
      <c r="SQJ214" s="181"/>
      <c r="SQK214" s="181"/>
      <c r="SQL214" s="181"/>
      <c r="SQM214" s="181"/>
      <c r="SQN214" s="181"/>
      <c r="SQO214" s="181"/>
      <c r="SQP214" s="181"/>
      <c r="SQQ214" s="181"/>
      <c r="SQR214" s="181"/>
      <c r="SQS214" s="181"/>
      <c r="SQT214" s="181"/>
      <c r="SQU214" s="181"/>
      <c r="SQV214" s="181"/>
      <c r="SQW214" s="181"/>
      <c r="SQX214" s="181"/>
      <c r="SQY214" s="181"/>
      <c r="SQZ214" s="181"/>
      <c r="SRA214" s="181"/>
      <c r="SRB214" s="181"/>
      <c r="SRC214" s="181"/>
      <c r="SRD214" s="181"/>
      <c r="SRE214" s="181"/>
      <c r="SRF214" s="181"/>
      <c r="SRG214" s="181"/>
      <c r="SRH214" s="181"/>
      <c r="SRI214" s="181"/>
      <c r="SRJ214" s="181"/>
      <c r="SRK214" s="181"/>
      <c r="SRL214" s="181"/>
      <c r="SRM214" s="181"/>
      <c r="SRN214" s="181"/>
      <c r="SRO214" s="181"/>
      <c r="SRP214" s="181"/>
      <c r="SRQ214" s="181"/>
      <c r="SRR214" s="181"/>
      <c r="SRS214" s="181"/>
      <c r="SRT214" s="181"/>
      <c r="SRU214" s="181"/>
      <c r="SRV214" s="181"/>
      <c r="SRW214" s="181"/>
      <c r="SRX214" s="181"/>
      <c r="SRY214" s="181"/>
      <c r="SRZ214" s="181"/>
      <c r="SSA214" s="181"/>
      <c r="SSB214" s="181"/>
      <c r="SSC214" s="181"/>
      <c r="SSD214" s="181"/>
      <c r="SSE214" s="181"/>
      <c r="SSF214" s="181"/>
      <c r="SSG214" s="181"/>
      <c r="SSH214" s="181"/>
      <c r="SSI214" s="181"/>
      <c r="SSJ214" s="181"/>
      <c r="SSK214" s="181"/>
      <c r="SSL214" s="181"/>
      <c r="SSM214" s="181"/>
      <c r="SSN214" s="181"/>
      <c r="SSO214" s="181"/>
      <c r="SSP214" s="181"/>
      <c r="SSQ214" s="181"/>
      <c r="SSR214" s="181"/>
      <c r="SSS214" s="181"/>
      <c r="SST214" s="181"/>
      <c r="SSU214" s="181"/>
      <c r="SSV214" s="181"/>
      <c r="SSW214" s="181"/>
      <c r="SSX214" s="181"/>
      <c r="SSY214" s="181"/>
      <c r="SSZ214" s="181"/>
      <c r="STA214" s="181"/>
      <c r="STB214" s="181"/>
      <c r="STC214" s="181"/>
      <c r="STD214" s="181"/>
      <c r="STE214" s="181"/>
      <c r="STF214" s="181"/>
      <c r="STG214" s="181"/>
      <c r="STH214" s="181"/>
      <c r="STI214" s="181"/>
      <c r="STJ214" s="181"/>
      <c r="STK214" s="181"/>
      <c r="STL214" s="181"/>
      <c r="STM214" s="181"/>
      <c r="STN214" s="181"/>
      <c r="STO214" s="181"/>
      <c r="STP214" s="181"/>
      <c r="STQ214" s="181"/>
      <c r="STR214" s="181"/>
      <c r="STS214" s="181"/>
      <c r="STT214" s="181"/>
      <c r="STU214" s="181"/>
      <c r="STV214" s="181"/>
      <c r="STW214" s="181"/>
      <c r="STX214" s="181"/>
      <c r="STY214" s="181"/>
      <c r="STZ214" s="181"/>
      <c r="SUA214" s="181"/>
      <c r="SUB214" s="181"/>
      <c r="SUC214" s="181"/>
      <c r="SUD214" s="181"/>
      <c r="SUE214" s="181"/>
      <c r="SUF214" s="181"/>
      <c r="SUG214" s="181"/>
      <c r="SUH214" s="181"/>
      <c r="SUI214" s="181"/>
      <c r="SUJ214" s="181"/>
      <c r="SUK214" s="181"/>
      <c r="SUL214" s="181"/>
      <c r="SUM214" s="181"/>
      <c r="SUN214" s="181"/>
      <c r="SUO214" s="181"/>
      <c r="SUP214" s="181"/>
      <c r="SUQ214" s="181"/>
      <c r="SUR214" s="181"/>
      <c r="SUS214" s="181"/>
      <c r="SUT214" s="181"/>
      <c r="SUU214" s="181"/>
      <c r="SUV214" s="181"/>
      <c r="SUW214" s="181"/>
      <c r="SUX214" s="181"/>
      <c r="SUY214" s="181"/>
      <c r="SUZ214" s="181"/>
      <c r="SVA214" s="181"/>
      <c r="SVB214" s="181"/>
      <c r="SVC214" s="181"/>
      <c r="SVD214" s="181"/>
      <c r="SVE214" s="181"/>
      <c r="SVF214" s="181"/>
      <c r="SVG214" s="181"/>
      <c r="SVH214" s="181"/>
      <c r="SVI214" s="181"/>
      <c r="SVJ214" s="181"/>
      <c r="SVK214" s="181"/>
      <c r="SVL214" s="181"/>
      <c r="SVM214" s="181"/>
      <c r="SVN214" s="181"/>
      <c r="SVO214" s="181"/>
      <c r="SVP214" s="181"/>
      <c r="SVQ214" s="181"/>
      <c r="SVR214" s="181"/>
      <c r="SVS214" s="181"/>
      <c r="SVT214" s="181"/>
      <c r="SVU214" s="181"/>
      <c r="SVV214" s="181"/>
      <c r="SVW214" s="181"/>
      <c r="SVX214" s="181"/>
      <c r="SVY214" s="181"/>
      <c r="SVZ214" s="181"/>
      <c r="SWA214" s="181"/>
      <c r="SWB214" s="181"/>
      <c r="SWC214" s="181"/>
      <c r="SWD214" s="181"/>
      <c r="SWE214" s="181"/>
      <c r="SWF214" s="181"/>
      <c r="SWG214" s="181"/>
      <c r="SWH214" s="181"/>
      <c r="SWI214" s="181"/>
      <c r="SWJ214" s="181"/>
      <c r="SWK214" s="181"/>
      <c r="SWL214" s="181"/>
      <c r="SWM214" s="181"/>
      <c r="SWN214" s="181"/>
      <c r="SWO214" s="181"/>
      <c r="SWP214" s="181"/>
      <c r="SWQ214" s="181"/>
      <c r="SWR214" s="181"/>
      <c r="SWS214" s="181"/>
      <c r="SWT214" s="181"/>
      <c r="SWU214" s="181"/>
      <c r="SWV214" s="181"/>
      <c r="SWW214" s="181"/>
      <c r="SWX214" s="181"/>
      <c r="SWY214" s="181"/>
      <c r="SWZ214" s="181"/>
      <c r="SXA214" s="181"/>
      <c r="SXB214" s="181"/>
      <c r="SXC214" s="181"/>
      <c r="SXD214" s="181"/>
      <c r="SXE214" s="181"/>
      <c r="SXF214" s="181"/>
      <c r="SXG214" s="181"/>
      <c r="SXH214" s="181"/>
      <c r="SXI214" s="181"/>
      <c r="SXJ214" s="181"/>
      <c r="SXK214" s="181"/>
      <c r="SXL214" s="181"/>
      <c r="SXM214" s="181"/>
      <c r="SXN214" s="181"/>
      <c r="SXO214" s="181"/>
      <c r="SXP214" s="181"/>
      <c r="SXQ214" s="181"/>
      <c r="SXR214" s="181"/>
      <c r="SXS214" s="181"/>
      <c r="SXT214" s="181"/>
      <c r="SXU214" s="181"/>
      <c r="SXV214" s="181"/>
      <c r="SXW214" s="181"/>
      <c r="SXX214" s="181"/>
      <c r="SXY214" s="181"/>
      <c r="SXZ214" s="181"/>
      <c r="SYA214" s="181"/>
      <c r="SYB214" s="181"/>
      <c r="SYC214" s="181"/>
      <c r="SYD214" s="181"/>
      <c r="SYE214" s="181"/>
      <c r="SYF214" s="181"/>
      <c r="SYG214" s="181"/>
      <c r="SYH214" s="181"/>
      <c r="SYI214" s="181"/>
      <c r="SYJ214" s="181"/>
      <c r="SYK214" s="181"/>
      <c r="SYL214" s="181"/>
      <c r="SYM214" s="181"/>
      <c r="SYN214" s="181"/>
      <c r="SYO214" s="181"/>
      <c r="SYP214" s="181"/>
      <c r="SYQ214" s="181"/>
      <c r="SYR214" s="181"/>
      <c r="SYS214" s="181"/>
      <c r="SYT214" s="181"/>
      <c r="SYU214" s="181"/>
      <c r="SYV214" s="181"/>
      <c r="SYW214" s="181"/>
      <c r="SYX214" s="181"/>
      <c r="SYY214" s="181"/>
      <c r="SYZ214" s="181"/>
      <c r="SZA214" s="181"/>
      <c r="SZB214" s="181"/>
      <c r="SZC214" s="181"/>
      <c r="SZD214" s="181"/>
      <c r="SZE214" s="181"/>
      <c r="SZF214" s="181"/>
      <c r="SZG214" s="181"/>
      <c r="SZH214" s="181"/>
      <c r="SZI214" s="181"/>
      <c r="SZJ214" s="181"/>
      <c r="SZK214" s="181"/>
      <c r="SZL214" s="181"/>
      <c r="SZM214" s="181"/>
      <c r="SZN214" s="181"/>
      <c r="SZO214" s="181"/>
      <c r="SZP214" s="181"/>
      <c r="SZQ214" s="181"/>
      <c r="SZR214" s="181"/>
      <c r="SZS214" s="181"/>
      <c r="SZT214" s="181"/>
      <c r="SZU214" s="181"/>
      <c r="SZV214" s="181"/>
      <c r="SZW214" s="181"/>
      <c r="SZX214" s="181"/>
      <c r="SZY214" s="181"/>
      <c r="SZZ214" s="181"/>
      <c r="TAA214" s="181"/>
      <c r="TAB214" s="181"/>
      <c r="TAC214" s="181"/>
      <c r="TAD214" s="181"/>
      <c r="TAE214" s="181"/>
      <c r="TAF214" s="181"/>
      <c r="TAG214" s="181"/>
      <c r="TAH214" s="181"/>
      <c r="TAI214" s="181"/>
      <c r="TAJ214" s="181"/>
      <c r="TAK214" s="181"/>
      <c r="TAL214" s="181"/>
      <c r="TAM214" s="181"/>
      <c r="TAN214" s="181"/>
      <c r="TAO214" s="181"/>
      <c r="TAP214" s="181"/>
      <c r="TAQ214" s="181"/>
      <c r="TAR214" s="181"/>
      <c r="TAS214" s="181"/>
      <c r="TAT214" s="181"/>
      <c r="TAU214" s="181"/>
      <c r="TAV214" s="181"/>
      <c r="TAW214" s="181"/>
      <c r="TAX214" s="181"/>
      <c r="TAY214" s="181"/>
      <c r="TAZ214" s="181"/>
      <c r="TBA214" s="181"/>
      <c r="TBB214" s="181"/>
      <c r="TBC214" s="181"/>
      <c r="TBD214" s="181"/>
      <c r="TBE214" s="181"/>
      <c r="TBF214" s="181"/>
      <c r="TBG214" s="181"/>
      <c r="TBH214" s="181"/>
      <c r="TBI214" s="181"/>
      <c r="TBJ214" s="181"/>
      <c r="TBK214" s="181"/>
      <c r="TBL214" s="181"/>
      <c r="TBM214" s="181"/>
      <c r="TBN214" s="181"/>
      <c r="TBO214" s="181"/>
      <c r="TBP214" s="181"/>
      <c r="TBQ214" s="181"/>
      <c r="TBR214" s="181"/>
      <c r="TBS214" s="181"/>
      <c r="TBT214" s="181"/>
      <c r="TBU214" s="181"/>
      <c r="TBV214" s="181"/>
      <c r="TBW214" s="181"/>
      <c r="TBX214" s="181"/>
      <c r="TBY214" s="181"/>
      <c r="TBZ214" s="181"/>
      <c r="TCA214" s="181"/>
      <c r="TCB214" s="181"/>
      <c r="TCC214" s="181"/>
      <c r="TCD214" s="181"/>
      <c r="TCE214" s="181"/>
      <c r="TCF214" s="181"/>
      <c r="TCG214" s="181"/>
      <c r="TCH214" s="181"/>
      <c r="TCI214" s="181"/>
      <c r="TCJ214" s="181"/>
      <c r="TCK214" s="181"/>
      <c r="TCL214" s="181"/>
      <c r="TCM214" s="181"/>
      <c r="TCN214" s="181"/>
      <c r="TCO214" s="181"/>
      <c r="TCP214" s="181"/>
      <c r="TCQ214" s="181"/>
      <c r="TCR214" s="181"/>
      <c r="TCS214" s="181"/>
      <c r="TCT214" s="181"/>
      <c r="TCU214" s="181"/>
      <c r="TCV214" s="181"/>
      <c r="TCW214" s="181"/>
      <c r="TCX214" s="181"/>
      <c r="TCY214" s="181"/>
      <c r="TCZ214" s="181"/>
      <c r="TDA214" s="181"/>
      <c r="TDB214" s="181"/>
      <c r="TDC214" s="181"/>
      <c r="TDD214" s="181"/>
      <c r="TDE214" s="181"/>
      <c r="TDF214" s="181"/>
      <c r="TDG214" s="181"/>
      <c r="TDH214" s="181"/>
      <c r="TDI214" s="181"/>
      <c r="TDJ214" s="181"/>
      <c r="TDK214" s="181"/>
      <c r="TDL214" s="181"/>
      <c r="TDM214" s="181"/>
      <c r="TDN214" s="181"/>
      <c r="TDO214" s="181"/>
      <c r="TDP214" s="181"/>
      <c r="TDQ214" s="181"/>
      <c r="TDR214" s="181"/>
      <c r="TDS214" s="181"/>
      <c r="TDT214" s="181"/>
      <c r="TDU214" s="181"/>
      <c r="TDV214" s="181"/>
      <c r="TDW214" s="181"/>
      <c r="TDX214" s="181"/>
      <c r="TDY214" s="181"/>
      <c r="TDZ214" s="181"/>
      <c r="TEA214" s="181"/>
      <c r="TEB214" s="181"/>
      <c r="TEC214" s="181"/>
      <c r="TED214" s="181"/>
      <c r="TEE214" s="181"/>
      <c r="TEF214" s="181"/>
      <c r="TEG214" s="181"/>
      <c r="TEH214" s="181"/>
      <c r="TEI214" s="181"/>
      <c r="TEJ214" s="181"/>
      <c r="TEK214" s="181"/>
      <c r="TEL214" s="181"/>
      <c r="TEM214" s="181"/>
      <c r="TEN214" s="181"/>
      <c r="TEO214" s="181"/>
      <c r="TEP214" s="181"/>
      <c r="TEQ214" s="181"/>
      <c r="TER214" s="181"/>
      <c r="TES214" s="181"/>
      <c r="TET214" s="181"/>
      <c r="TEU214" s="181"/>
      <c r="TEV214" s="181"/>
      <c r="TEW214" s="181"/>
      <c r="TEX214" s="181"/>
      <c r="TEY214" s="181"/>
      <c r="TEZ214" s="181"/>
      <c r="TFA214" s="181"/>
      <c r="TFB214" s="181"/>
      <c r="TFC214" s="181"/>
      <c r="TFD214" s="181"/>
      <c r="TFE214" s="181"/>
      <c r="TFF214" s="181"/>
      <c r="TFG214" s="181"/>
      <c r="TFH214" s="181"/>
      <c r="TFI214" s="181"/>
      <c r="TFJ214" s="181"/>
      <c r="TFK214" s="181"/>
      <c r="TFL214" s="181"/>
      <c r="TFM214" s="181"/>
      <c r="TFN214" s="181"/>
      <c r="TFO214" s="181"/>
      <c r="TFP214" s="181"/>
      <c r="TFQ214" s="181"/>
      <c r="TFR214" s="181"/>
      <c r="TFS214" s="181"/>
      <c r="TFT214" s="181"/>
      <c r="TFU214" s="181"/>
      <c r="TFV214" s="181"/>
      <c r="TFW214" s="181"/>
      <c r="TFX214" s="181"/>
      <c r="TFY214" s="181"/>
      <c r="TFZ214" s="181"/>
      <c r="TGA214" s="181"/>
      <c r="TGB214" s="181"/>
      <c r="TGC214" s="181"/>
      <c r="TGD214" s="181"/>
      <c r="TGE214" s="181"/>
      <c r="TGF214" s="181"/>
      <c r="TGG214" s="181"/>
      <c r="TGH214" s="181"/>
      <c r="TGI214" s="181"/>
      <c r="TGJ214" s="181"/>
      <c r="TGK214" s="181"/>
      <c r="TGL214" s="181"/>
      <c r="TGM214" s="181"/>
      <c r="TGN214" s="181"/>
      <c r="TGO214" s="181"/>
      <c r="TGP214" s="181"/>
      <c r="TGQ214" s="181"/>
      <c r="TGR214" s="181"/>
      <c r="TGS214" s="181"/>
      <c r="TGT214" s="181"/>
      <c r="TGU214" s="181"/>
      <c r="TGV214" s="181"/>
      <c r="TGW214" s="181"/>
      <c r="TGX214" s="181"/>
      <c r="TGY214" s="181"/>
      <c r="TGZ214" s="181"/>
      <c r="THA214" s="181"/>
      <c r="THB214" s="181"/>
      <c r="THC214" s="181"/>
      <c r="THD214" s="181"/>
      <c r="THE214" s="181"/>
      <c r="THF214" s="181"/>
      <c r="THG214" s="181"/>
      <c r="THH214" s="181"/>
      <c r="THI214" s="181"/>
      <c r="THJ214" s="181"/>
      <c r="THK214" s="181"/>
      <c r="THL214" s="181"/>
      <c r="THM214" s="181"/>
      <c r="THN214" s="181"/>
      <c r="THO214" s="181"/>
      <c r="THP214" s="181"/>
      <c r="THQ214" s="181"/>
      <c r="THR214" s="181"/>
      <c r="THS214" s="181"/>
      <c r="THT214" s="181"/>
      <c r="THU214" s="181"/>
      <c r="THV214" s="181"/>
      <c r="THW214" s="181"/>
      <c r="THX214" s="181"/>
      <c r="THY214" s="181"/>
      <c r="THZ214" s="181"/>
      <c r="TIA214" s="181"/>
      <c r="TIB214" s="181"/>
      <c r="TIC214" s="181"/>
      <c r="TID214" s="181"/>
      <c r="TIE214" s="181"/>
      <c r="TIF214" s="181"/>
      <c r="TIG214" s="181"/>
      <c r="TIH214" s="181"/>
      <c r="TII214" s="181"/>
      <c r="TIJ214" s="181"/>
      <c r="TIK214" s="181"/>
      <c r="TIL214" s="181"/>
      <c r="TIM214" s="181"/>
      <c r="TIN214" s="181"/>
      <c r="TIO214" s="181"/>
      <c r="TIP214" s="181"/>
      <c r="TIQ214" s="181"/>
      <c r="TIR214" s="181"/>
      <c r="TIS214" s="181"/>
      <c r="TIT214" s="181"/>
      <c r="TIU214" s="181"/>
      <c r="TIV214" s="181"/>
      <c r="TIW214" s="181"/>
      <c r="TIX214" s="181"/>
      <c r="TIY214" s="181"/>
      <c r="TIZ214" s="181"/>
      <c r="TJA214" s="181"/>
      <c r="TJB214" s="181"/>
      <c r="TJC214" s="181"/>
      <c r="TJD214" s="181"/>
      <c r="TJE214" s="181"/>
      <c r="TJF214" s="181"/>
      <c r="TJG214" s="181"/>
      <c r="TJH214" s="181"/>
      <c r="TJI214" s="181"/>
      <c r="TJJ214" s="181"/>
      <c r="TJK214" s="181"/>
      <c r="TJL214" s="181"/>
      <c r="TJM214" s="181"/>
      <c r="TJN214" s="181"/>
      <c r="TJO214" s="181"/>
      <c r="TJP214" s="181"/>
      <c r="TJQ214" s="181"/>
      <c r="TJR214" s="181"/>
      <c r="TJS214" s="181"/>
      <c r="TJT214" s="181"/>
      <c r="TJU214" s="181"/>
      <c r="TJV214" s="181"/>
      <c r="TJW214" s="181"/>
      <c r="TJX214" s="181"/>
      <c r="TJY214" s="181"/>
      <c r="TJZ214" s="181"/>
      <c r="TKA214" s="181"/>
      <c r="TKB214" s="181"/>
      <c r="TKC214" s="181"/>
      <c r="TKD214" s="181"/>
      <c r="TKE214" s="181"/>
      <c r="TKF214" s="181"/>
      <c r="TKG214" s="181"/>
      <c r="TKH214" s="181"/>
      <c r="TKI214" s="181"/>
      <c r="TKJ214" s="181"/>
      <c r="TKK214" s="181"/>
      <c r="TKL214" s="181"/>
      <c r="TKM214" s="181"/>
      <c r="TKN214" s="181"/>
      <c r="TKO214" s="181"/>
      <c r="TKP214" s="181"/>
      <c r="TKQ214" s="181"/>
      <c r="TKR214" s="181"/>
      <c r="TKS214" s="181"/>
      <c r="TKT214" s="181"/>
      <c r="TKU214" s="181"/>
      <c r="TKV214" s="181"/>
      <c r="TKW214" s="181"/>
      <c r="TKX214" s="181"/>
      <c r="TKY214" s="181"/>
      <c r="TKZ214" s="181"/>
      <c r="TLA214" s="181"/>
      <c r="TLB214" s="181"/>
      <c r="TLC214" s="181"/>
      <c r="TLD214" s="181"/>
      <c r="TLE214" s="181"/>
      <c r="TLF214" s="181"/>
      <c r="TLG214" s="181"/>
      <c r="TLH214" s="181"/>
      <c r="TLI214" s="181"/>
      <c r="TLJ214" s="181"/>
      <c r="TLK214" s="181"/>
      <c r="TLL214" s="181"/>
      <c r="TLM214" s="181"/>
      <c r="TLN214" s="181"/>
      <c r="TLO214" s="181"/>
      <c r="TLP214" s="181"/>
      <c r="TLQ214" s="181"/>
      <c r="TLR214" s="181"/>
      <c r="TLS214" s="181"/>
      <c r="TLT214" s="181"/>
      <c r="TLU214" s="181"/>
      <c r="TLV214" s="181"/>
      <c r="TLW214" s="181"/>
      <c r="TLX214" s="181"/>
      <c r="TLY214" s="181"/>
      <c r="TLZ214" s="181"/>
      <c r="TMA214" s="181"/>
      <c r="TMB214" s="181"/>
      <c r="TMC214" s="181"/>
      <c r="TMD214" s="181"/>
      <c r="TME214" s="181"/>
      <c r="TMF214" s="181"/>
      <c r="TMG214" s="181"/>
      <c r="TMH214" s="181"/>
      <c r="TMI214" s="181"/>
      <c r="TMJ214" s="181"/>
      <c r="TMK214" s="181"/>
      <c r="TML214" s="181"/>
      <c r="TMM214" s="181"/>
      <c r="TMN214" s="181"/>
      <c r="TMO214" s="181"/>
      <c r="TMP214" s="181"/>
      <c r="TMQ214" s="181"/>
      <c r="TMR214" s="181"/>
      <c r="TMS214" s="181"/>
      <c r="TMT214" s="181"/>
      <c r="TMU214" s="181"/>
      <c r="TMV214" s="181"/>
      <c r="TMW214" s="181"/>
      <c r="TMX214" s="181"/>
      <c r="TMY214" s="181"/>
      <c r="TMZ214" s="181"/>
      <c r="TNA214" s="181"/>
      <c r="TNB214" s="181"/>
      <c r="TNC214" s="181"/>
      <c r="TND214" s="181"/>
      <c r="TNE214" s="181"/>
      <c r="TNF214" s="181"/>
      <c r="TNG214" s="181"/>
      <c r="TNH214" s="181"/>
      <c r="TNI214" s="181"/>
      <c r="TNJ214" s="181"/>
      <c r="TNK214" s="181"/>
      <c r="TNL214" s="181"/>
      <c r="TNM214" s="181"/>
      <c r="TNN214" s="181"/>
      <c r="TNO214" s="181"/>
      <c r="TNP214" s="181"/>
      <c r="TNQ214" s="181"/>
      <c r="TNR214" s="181"/>
      <c r="TNS214" s="181"/>
      <c r="TNT214" s="181"/>
      <c r="TNU214" s="181"/>
      <c r="TNV214" s="181"/>
      <c r="TNW214" s="181"/>
      <c r="TNX214" s="181"/>
      <c r="TNY214" s="181"/>
      <c r="TNZ214" s="181"/>
      <c r="TOA214" s="181"/>
      <c r="TOB214" s="181"/>
      <c r="TOC214" s="181"/>
      <c r="TOD214" s="181"/>
      <c r="TOE214" s="181"/>
      <c r="TOF214" s="181"/>
      <c r="TOG214" s="181"/>
      <c r="TOH214" s="181"/>
      <c r="TOI214" s="181"/>
      <c r="TOJ214" s="181"/>
      <c r="TOK214" s="181"/>
      <c r="TOL214" s="181"/>
      <c r="TOM214" s="181"/>
      <c r="TON214" s="181"/>
      <c r="TOO214" s="181"/>
      <c r="TOP214" s="181"/>
      <c r="TOQ214" s="181"/>
      <c r="TOR214" s="181"/>
      <c r="TOS214" s="181"/>
      <c r="TOT214" s="181"/>
      <c r="TOU214" s="181"/>
      <c r="TOV214" s="181"/>
      <c r="TOW214" s="181"/>
      <c r="TOX214" s="181"/>
      <c r="TOY214" s="181"/>
      <c r="TOZ214" s="181"/>
      <c r="TPA214" s="181"/>
      <c r="TPB214" s="181"/>
      <c r="TPC214" s="181"/>
      <c r="TPD214" s="181"/>
      <c r="TPE214" s="181"/>
      <c r="TPF214" s="181"/>
      <c r="TPG214" s="181"/>
      <c r="TPH214" s="181"/>
      <c r="TPI214" s="181"/>
      <c r="TPJ214" s="181"/>
      <c r="TPK214" s="181"/>
      <c r="TPL214" s="181"/>
      <c r="TPM214" s="181"/>
      <c r="TPN214" s="181"/>
      <c r="TPO214" s="181"/>
      <c r="TPP214" s="181"/>
      <c r="TPQ214" s="181"/>
      <c r="TPR214" s="181"/>
      <c r="TPS214" s="181"/>
      <c r="TPT214" s="181"/>
      <c r="TPU214" s="181"/>
      <c r="TPV214" s="181"/>
      <c r="TPW214" s="181"/>
      <c r="TPX214" s="181"/>
      <c r="TPY214" s="181"/>
      <c r="TPZ214" s="181"/>
      <c r="TQA214" s="181"/>
      <c r="TQB214" s="181"/>
      <c r="TQC214" s="181"/>
      <c r="TQD214" s="181"/>
      <c r="TQE214" s="181"/>
      <c r="TQF214" s="181"/>
      <c r="TQG214" s="181"/>
      <c r="TQH214" s="181"/>
      <c r="TQI214" s="181"/>
      <c r="TQJ214" s="181"/>
      <c r="TQK214" s="181"/>
      <c r="TQL214" s="181"/>
      <c r="TQM214" s="181"/>
      <c r="TQN214" s="181"/>
      <c r="TQO214" s="181"/>
      <c r="TQP214" s="181"/>
      <c r="TQQ214" s="181"/>
      <c r="TQR214" s="181"/>
      <c r="TQS214" s="181"/>
      <c r="TQT214" s="181"/>
      <c r="TQU214" s="181"/>
      <c r="TQV214" s="181"/>
      <c r="TQW214" s="181"/>
      <c r="TQX214" s="181"/>
      <c r="TQY214" s="181"/>
      <c r="TQZ214" s="181"/>
      <c r="TRA214" s="181"/>
      <c r="TRB214" s="181"/>
      <c r="TRC214" s="181"/>
      <c r="TRD214" s="181"/>
      <c r="TRE214" s="181"/>
      <c r="TRF214" s="181"/>
      <c r="TRG214" s="181"/>
      <c r="TRH214" s="181"/>
      <c r="TRI214" s="181"/>
      <c r="TRJ214" s="181"/>
      <c r="TRK214" s="181"/>
      <c r="TRL214" s="181"/>
      <c r="TRM214" s="181"/>
      <c r="TRN214" s="181"/>
      <c r="TRO214" s="181"/>
      <c r="TRP214" s="181"/>
      <c r="TRQ214" s="181"/>
      <c r="TRR214" s="181"/>
      <c r="TRS214" s="181"/>
      <c r="TRT214" s="181"/>
      <c r="TRU214" s="181"/>
      <c r="TRV214" s="181"/>
      <c r="TRW214" s="181"/>
      <c r="TRX214" s="181"/>
      <c r="TRY214" s="181"/>
      <c r="TRZ214" s="181"/>
      <c r="TSA214" s="181"/>
      <c r="TSB214" s="181"/>
      <c r="TSC214" s="181"/>
      <c r="TSD214" s="181"/>
      <c r="TSE214" s="181"/>
      <c r="TSF214" s="181"/>
      <c r="TSG214" s="181"/>
      <c r="TSH214" s="181"/>
      <c r="TSI214" s="181"/>
      <c r="TSJ214" s="181"/>
      <c r="TSK214" s="181"/>
      <c r="TSL214" s="181"/>
      <c r="TSM214" s="181"/>
      <c r="TSN214" s="181"/>
      <c r="TSO214" s="181"/>
      <c r="TSP214" s="181"/>
      <c r="TSQ214" s="181"/>
      <c r="TSR214" s="181"/>
      <c r="TSS214" s="181"/>
      <c r="TST214" s="181"/>
      <c r="TSU214" s="181"/>
      <c r="TSV214" s="181"/>
      <c r="TSW214" s="181"/>
      <c r="TSX214" s="181"/>
      <c r="TSY214" s="181"/>
      <c r="TSZ214" s="181"/>
      <c r="TTA214" s="181"/>
      <c r="TTB214" s="181"/>
      <c r="TTC214" s="181"/>
      <c r="TTD214" s="181"/>
      <c r="TTE214" s="181"/>
      <c r="TTF214" s="181"/>
      <c r="TTG214" s="181"/>
      <c r="TTH214" s="181"/>
      <c r="TTI214" s="181"/>
      <c r="TTJ214" s="181"/>
      <c r="TTK214" s="181"/>
      <c r="TTL214" s="181"/>
      <c r="TTM214" s="181"/>
      <c r="TTN214" s="181"/>
      <c r="TTO214" s="181"/>
      <c r="TTP214" s="181"/>
      <c r="TTQ214" s="181"/>
      <c r="TTR214" s="181"/>
      <c r="TTS214" s="181"/>
      <c r="TTT214" s="181"/>
      <c r="TTU214" s="181"/>
      <c r="TTV214" s="181"/>
      <c r="TTW214" s="181"/>
      <c r="TTX214" s="181"/>
      <c r="TTY214" s="181"/>
      <c r="TTZ214" s="181"/>
      <c r="TUA214" s="181"/>
      <c r="TUB214" s="181"/>
      <c r="TUC214" s="181"/>
      <c r="TUD214" s="181"/>
      <c r="TUE214" s="181"/>
      <c r="TUF214" s="181"/>
      <c r="TUG214" s="181"/>
      <c r="TUH214" s="181"/>
      <c r="TUI214" s="181"/>
      <c r="TUJ214" s="181"/>
      <c r="TUK214" s="181"/>
      <c r="TUL214" s="181"/>
      <c r="TUM214" s="181"/>
      <c r="TUN214" s="181"/>
      <c r="TUO214" s="181"/>
      <c r="TUP214" s="181"/>
      <c r="TUQ214" s="181"/>
      <c r="TUR214" s="181"/>
      <c r="TUS214" s="181"/>
      <c r="TUT214" s="181"/>
      <c r="TUU214" s="181"/>
      <c r="TUV214" s="181"/>
      <c r="TUW214" s="181"/>
      <c r="TUX214" s="181"/>
      <c r="TUY214" s="181"/>
      <c r="TUZ214" s="181"/>
      <c r="TVA214" s="181"/>
      <c r="TVB214" s="181"/>
      <c r="TVC214" s="181"/>
      <c r="TVD214" s="181"/>
      <c r="TVE214" s="181"/>
      <c r="TVF214" s="181"/>
      <c r="TVG214" s="181"/>
      <c r="TVH214" s="181"/>
      <c r="TVI214" s="181"/>
      <c r="TVJ214" s="181"/>
      <c r="TVK214" s="181"/>
      <c r="TVL214" s="181"/>
      <c r="TVM214" s="181"/>
      <c r="TVN214" s="181"/>
      <c r="TVO214" s="181"/>
      <c r="TVP214" s="181"/>
      <c r="TVQ214" s="181"/>
      <c r="TVR214" s="181"/>
      <c r="TVS214" s="181"/>
      <c r="TVT214" s="181"/>
      <c r="TVU214" s="181"/>
      <c r="TVV214" s="181"/>
      <c r="TVW214" s="181"/>
      <c r="TVX214" s="181"/>
      <c r="TVY214" s="181"/>
      <c r="TVZ214" s="181"/>
      <c r="TWA214" s="181"/>
      <c r="TWB214" s="181"/>
      <c r="TWC214" s="181"/>
      <c r="TWD214" s="181"/>
      <c r="TWE214" s="181"/>
      <c r="TWF214" s="181"/>
      <c r="TWG214" s="181"/>
      <c r="TWH214" s="181"/>
      <c r="TWI214" s="181"/>
      <c r="TWJ214" s="181"/>
      <c r="TWK214" s="181"/>
      <c r="TWL214" s="181"/>
      <c r="TWM214" s="181"/>
      <c r="TWN214" s="181"/>
      <c r="TWO214" s="181"/>
      <c r="TWP214" s="181"/>
      <c r="TWQ214" s="181"/>
      <c r="TWR214" s="181"/>
      <c r="TWS214" s="181"/>
      <c r="TWT214" s="181"/>
      <c r="TWU214" s="181"/>
      <c r="TWV214" s="181"/>
      <c r="TWW214" s="181"/>
      <c r="TWX214" s="181"/>
      <c r="TWY214" s="181"/>
      <c r="TWZ214" s="181"/>
      <c r="TXA214" s="181"/>
      <c r="TXB214" s="181"/>
      <c r="TXC214" s="181"/>
      <c r="TXD214" s="181"/>
      <c r="TXE214" s="181"/>
      <c r="TXF214" s="181"/>
      <c r="TXG214" s="181"/>
      <c r="TXH214" s="181"/>
      <c r="TXI214" s="181"/>
      <c r="TXJ214" s="181"/>
      <c r="TXK214" s="181"/>
      <c r="TXL214" s="181"/>
      <c r="TXM214" s="181"/>
      <c r="TXN214" s="181"/>
      <c r="TXO214" s="181"/>
      <c r="TXP214" s="181"/>
      <c r="TXQ214" s="181"/>
      <c r="TXR214" s="181"/>
      <c r="TXS214" s="181"/>
      <c r="TXT214" s="181"/>
      <c r="TXU214" s="181"/>
      <c r="TXV214" s="181"/>
      <c r="TXW214" s="181"/>
      <c r="TXX214" s="181"/>
      <c r="TXY214" s="181"/>
      <c r="TXZ214" s="181"/>
      <c r="TYA214" s="181"/>
      <c r="TYB214" s="181"/>
      <c r="TYC214" s="181"/>
      <c r="TYD214" s="181"/>
      <c r="TYE214" s="181"/>
      <c r="TYF214" s="181"/>
      <c r="TYG214" s="181"/>
      <c r="TYH214" s="181"/>
      <c r="TYI214" s="181"/>
      <c r="TYJ214" s="181"/>
      <c r="TYK214" s="181"/>
      <c r="TYL214" s="181"/>
      <c r="TYM214" s="181"/>
      <c r="TYN214" s="181"/>
      <c r="TYO214" s="181"/>
      <c r="TYP214" s="181"/>
      <c r="TYQ214" s="181"/>
      <c r="TYR214" s="181"/>
      <c r="TYS214" s="181"/>
      <c r="TYT214" s="181"/>
      <c r="TYU214" s="181"/>
      <c r="TYV214" s="181"/>
      <c r="TYW214" s="181"/>
      <c r="TYX214" s="181"/>
      <c r="TYY214" s="181"/>
      <c r="TYZ214" s="181"/>
      <c r="TZA214" s="181"/>
      <c r="TZB214" s="181"/>
      <c r="TZC214" s="181"/>
      <c r="TZD214" s="181"/>
      <c r="TZE214" s="181"/>
      <c r="TZF214" s="181"/>
      <c r="TZG214" s="181"/>
      <c r="TZH214" s="181"/>
      <c r="TZI214" s="181"/>
      <c r="TZJ214" s="181"/>
      <c r="TZK214" s="181"/>
      <c r="TZL214" s="181"/>
      <c r="TZM214" s="181"/>
      <c r="TZN214" s="181"/>
      <c r="TZO214" s="181"/>
      <c r="TZP214" s="181"/>
      <c r="TZQ214" s="181"/>
      <c r="TZR214" s="181"/>
      <c r="TZS214" s="181"/>
      <c r="TZT214" s="181"/>
      <c r="TZU214" s="181"/>
      <c r="TZV214" s="181"/>
      <c r="TZW214" s="181"/>
      <c r="TZX214" s="181"/>
      <c r="TZY214" s="181"/>
      <c r="TZZ214" s="181"/>
      <c r="UAA214" s="181"/>
      <c r="UAB214" s="181"/>
      <c r="UAC214" s="181"/>
      <c r="UAD214" s="181"/>
      <c r="UAE214" s="181"/>
      <c r="UAF214" s="181"/>
      <c r="UAG214" s="181"/>
      <c r="UAH214" s="181"/>
      <c r="UAI214" s="181"/>
      <c r="UAJ214" s="181"/>
      <c r="UAK214" s="181"/>
      <c r="UAL214" s="181"/>
      <c r="UAM214" s="181"/>
      <c r="UAN214" s="181"/>
      <c r="UAO214" s="181"/>
      <c r="UAP214" s="181"/>
      <c r="UAQ214" s="181"/>
      <c r="UAR214" s="181"/>
      <c r="UAS214" s="181"/>
      <c r="UAT214" s="181"/>
      <c r="UAU214" s="181"/>
      <c r="UAV214" s="181"/>
      <c r="UAW214" s="181"/>
      <c r="UAX214" s="181"/>
      <c r="UAY214" s="181"/>
      <c r="UAZ214" s="181"/>
      <c r="UBA214" s="181"/>
      <c r="UBB214" s="181"/>
      <c r="UBC214" s="181"/>
      <c r="UBD214" s="181"/>
      <c r="UBE214" s="181"/>
      <c r="UBF214" s="181"/>
      <c r="UBG214" s="181"/>
      <c r="UBH214" s="181"/>
      <c r="UBI214" s="181"/>
      <c r="UBJ214" s="181"/>
      <c r="UBK214" s="181"/>
      <c r="UBL214" s="181"/>
      <c r="UBM214" s="181"/>
      <c r="UBN214" s="181"/>
      <c r="UBO214" s="181"/>
      <c r="UBP214" s="181"/>
      <c r="UBQ214" s="181"/>
      <c r="UBR214" s="181"/>
      <c r="UBS214" s="181"/>
      <c r="UBT214" s="181"/>
      <c r="UBU214" s="181"/>
      <c r="UBV214" s="181"/>
      <c r="UBW214" s="181"/>
      <c r="UBX214" s="181"/>
      <c r="UBY214" s="181"/>
      <c r="UBZ214" s="181"/>
      <c r="UCA214" s="181"/>
      <c r="UCB214" s="181"/>
      <c r="UCC214" s="181"/>
      <c r="UCD214" s="181"/>
      <c r="UCE214" s="181"/>
      <c r="UCF214" s="181"/>
      <c r="UCG214" s="181"/>
      <c r="UCH214" s="181"/>
      <c r="UCI214" s="181"/>
      <c r="UCJ214" s="181"/>
      <c r="UCK214" s="181"/>
      <c r="UCL214" s="181"/>
      <c r="UCM214" s="181"/>
      <c r="UCN214" s="181"/>
      <c r="UCO214" s="181"/>
      <c r="UCP214" s="181"/>
      <c r="UCQ214" s="181"/>
      <c r="UCR214" s="181"/>
      <c r="UCS214" s="181"/>
      <c r="UCT214" s="181"/>
      <c r="UCU214" s="181"/>
      <c r="UCV214" s="181"/>
      <c r="UCW214" s="181"/>
      <c r="UCX214" s="181"/>
      <c r="UCY214" s="181"/>
      <c r="UCZ214" s="181"/>
      <c r="UDA214" s="181"/>
      <c r="UDB214" s="181"/>
      <c r="UDC214" s="181"/>
      <c r="UDD214" s="181"/>
      <c r="UDE214" s="181"/>
      <c r="UDF214" s="181"/>
      <c r="UDG214" s="181"/>
      <c r="UDH214" s="181"/>
      <c r="UDI214" s="181"/>
      <c r="UDJ214" s="181"/>
      <c r="UDK214" s="181"/>
      <c r="UDL214" s="181"/>
      <c r="UDM214" s="181"/>
      <c r="UDN214" s="181"/>
      <c r="UDO214" s="181"/>
      <c r="UDP214" s="181"/>
      <c r="UDQ214" s="181"/>
      <c r="UDR214" s="181"/>
      <c r="UDS214" s="181"/>
      <c r="UDT214" s="181"/>
      <c r="UDU214" s="181"/>
      <c r="UDV214" s="181"/>
      <c r="UDW214" s="181"/>
      <c r="UDX214" s="181"/>
      <c r="UDY214" s="181"/>
      <c r="UDZ214" s="181"/>
      <c r="UEA214" s="181"/>
      <c r="UEB214" s="181"/>
      <c r="UEC214" s="181"/>
      <c r="UED214" s="181"/>
      <c r="UEE214" s="181"/>
      <c r="UEF214" s="181"/>
      <c r="UEG214" s="181"/>
      <c r="UEH214" s="181"/>
      <c r="UEI214" s="181"/>
      <c r="UEJ214" s="181"/>
      <c r="UEK214" s="181"/>
      <c r="UEL214" s="181"/>
      <c r="UEM214" s="181"/>
      <c r="UEN214" s="181"/>
      <c r="UEO214" s="181"/>
      <c r="UEP214" s="181"/>
      <c r="UEQ214" s="181"/>
      <c r="UER214" s="181"/>
      <c r="UES214" s="181"/>
      <c r="UET214" s="181"/>
      <c r="UEU214" s="181"/>
      <c r="UEV214" s="181"/>
      <c r="UEW214" s="181"/>
      <c r="UEX214" s="181"/>
      <c r="UEY214" s="181"/>
      <c r="UEZ214" s="181"/>
      <c r="UFA214" s="181"/>
      <c r="UFB214" s="181"/>
      <c r="UFC214" s="181"/>
      <c r="UFD214" s="181"/>
      <c r="UFE214" s="181"/>
      <c r="UFF214" s="181"/>
      <c r="UFG214" s="181"/>
      <c r="UFH214" s="181"/>
      <c r="UFI214" s="181"/>
      <c r="UFJ214" s="181"/>
      <c r="UFK214" s="181"/>
      <c r="UFL214" s="181"/>
      <c r="UFM214" s="181"/>
      <c r="UFN214" s="181"/>
      <c r="UFO214" s="181"/>
      <c r="UFP214" s="181"/>
      <c r="UFQ214" s="181"/>
      <c r="UFR214" s="181"/>
      <c r="UFS214" s="181"/>
      <c r="UFT214" s="181"/>
      <c r="UFU214" s="181"/>
      <c r="UFV214" s="181"/>
      <c r="UFW214" s="181"/>
      <c r="UFX214" s="181"/>
      <c r="UFY214" s="181"/>
      <c r="UFZ214" s="181"/>
      <c r="UGA214" s="181"/>
      <c r="UGB214" s="181"/>
      <c r="UGC214" s="181"/>
      <c r="UGD214" s="181"/>
      <c r="UGE214" s="181"/>
      <c r="UGF214" s="181"/>
      <c r="UGG214" s="181"/>
      <c r="UGH214" s="181"/>
      <c r="UGI214" s="181"/>
      <c r="UGJ214" s="181"/>
      <c r="UGK214" s="181"/>
      <c r="UGL214" s="181"/>
      <c r="UGM214" s="181"/>
      <c r="UGN214" s="181"/>
      <c r="UGO214" s="181"/>
      <c r="UGP214" s="181"/>
      <c r="UGQ214" s="181"/>
      <c r="UGR214" s="181"/>
      <c r="UGS214" s="181"/>
      <c r="UGT214" s="181"/>
      <c r="UGU214" s="181"/>
      <c r="UGV214" s="181"/>
      <c r="UGW214" s="181"/>
      <c r="UGX214" s="181"/>
      <c r="UGY214" s="181"/>
      <c r="UGZ214" s="181"/>
      <c r="UHA214" s="181"/>
      <c r="UHB214" s="181"/>
      <c r="UHC214" s="181"/>
      <c r="UHD214" s="181"/>
      <c r="UHE214" s="181"/>
      <c r="UHF214" s="181"/>
      <c r="UHG214" s="181"/>
      <c r="UHH214" s="181"/>
      <c r="UHI214" s="181"/>
      <c r="UHJ214" s="181"/>
      <c r="UHK214" s="181"/>
      <c r="UHL214" s="181"/>
      <c r="UHM214" s="181"/>
      <c r="UHN214" s="181"/>
      <c r="UHO214" s="181"/>
      <c r="UHP214" s="181"/>
      <c r="UHQ214" s="181"/>
      <c r="UHR214" s="181"/>
      <c r="UHS214" s="181"/>
      <c r="UHT214" s="181"/>
      <c r="UHU214" s="181"/>
      <c r="UHV214" s="181"/>
      <c r="UHW214" s="181"/>
      <c r="UHX214" s="181"/>
      <c r="UHY214" s="181"/>
      <c r="UHZ214" s="181"/>
      <c r="UIA214" s="181"/>
      <c r="UIB214" s="181"/>
      <c r="UIC214" s="181"/>
      <c r="UID214" s="181"/>
      <c r="UIE214" s="181"/>
      <c r="UIF214" s="181"/>
      <c r="UIG214" s="181"/>
      <c r="UIH214" s="181"/>
      <c r="UII214" s="181"/>
      <c r="UIJ214" s="181"/>
      <c r="UIK214" s="181"/>
      <c r="UIL214" s="181"/>
      <c r="UIM214" s="181"/>
      <c r="UIN214" s="181"/>
      <c r="UIO214" s="181"/>
      <c r="UIP214" s="181"/>
      <c r="UIQ214" s="181"/>
      <c r="UIR214" s="181"/>
      <c r="UIS214" s="181"/>
      <c r="UIT214" s="181"/>
      <c r="UIU214" s="181"/>
      <c r="UIV214" s="181"/>
      <c r="UIW214" s="181"/>
      <c r="UIX214" s="181"/>
      <c r="UIY214" s="181"/>
      <c r="UIZ214" s="181"/>
      <c r="UJA214" s="181"/>
      <c r="UJB214" s="181"/>
      <c r="UJC214" s="181"/>
      <c r="UJD214" s="181"/>
      <c r="UJE214" s="181"/>
      <c r="UJF214" s="181"/>
      <c r="UJG214" s="181"/>
      <c r="UJH214" s="181"/>
      <c r="UJI214" s="181"/>
      <c r="UJJ214" s="181"/>
      <c r="UJK214" s="181"/>
      <c r="UJL214" s="181"/>
      <c r="UJM214" s="181"/>
      <c r="UJN214" s="181"/>
      <c r="UJO214" s="181"/>
      <c r="UJP214" s="181"/>
      <c r="UJQ214" s="181"/>
      <c r="UJR214" s="181"/>
      <c r="UJS214" s="181"/>
      <c r="UJT214" s="181"/>
      <c r="UJU214" s="181"/>
      <c r="UJV214" s="181"/>
      <c r="UJW214" s="181"/>
      <c r="UJX214" s="181"/>
      <c r="UJY214" s="181"/>
      <c r="UJZ214" s="181"/>
      <c r="UKA214" s="181"/>
      <c r="UKB214" s="181"/>
      <c r="UKC214" s="181"/>
      <c r="UKD214" s="181"/>
      <c r="UKE214" s="181"/>
      <c r="UKF214" s="181"/>
      <c r="UKG214" s="181"/>
      <c r="UKH214" s="181"/>
      <c r="UKI214" s="181"/>
      <c r="UKJ214" s="181"/>
      <c r="UKK214" s="181"/>
      <c r="UKL214" s="181"/>
      <c r="UKM214" s="181"/>
      <c r="UKN214" s="181"/>
      <c r="UKO214" s="181"/>
      <c r="UKP214" s="181"/>
      <c r="UKQ214" s="181"/>
      <c r="UKR214" s="181"/>
      <c r="UKS214" s="181"/>
      <c r="UKT214" s="181"/>
      <c r="UKU214" s="181"/>
      <c r="UKV214" s="181"/>
      <c r="UKW214" s="181"/>
      <c r="UKX214" s="181"/>
      <c r="UKY214" s="181"/>
      <c r="UKZ214" s="181"/>
      <c r="ULA214" s="181"/>
      <c r="ULB214" s="181"/>
      <c r="ULC214" s="181"/>
      <c r="ULD214" s="181"/>
      <c r="ULE214" s="181"/>
      <c r="ULF214" s="181"/>
      <c r="ULG214" s="181"/>
      <c r="ULH214" s="181"/>
      <c r="ULI214" s="181"/>
      <c r="ULJ214" s="181"/>
      <c r="ULK214" s="181"/>
      <c r="ULL214" s="181"/>
      <c r="ULM214" s="181"/>
      <c r="ULN214" s="181"/>
      <c r="ULO214" s="181"/>
      <c r="ULP214" s="181"/>
      <c r="ULQ214" s="181"/>
      <c r="ULR214" s="181"/>
      <c r="ULS214" s="181"/>
      <c r="ULT214" s="181"/>
      <c r="ULU214" s="181"/>
      <c r="ULV214" s="181"/>
      <c r="ULW214" s="181"/>
      <c r="ULX214" s="181"/>
      <c r="ULY214" s="181"/>
      <c r="ULZ214" s="181"/>
      <c r="UMA214" s="181"/>
      <c r="UMB214" s="181"/>
      <c r="UMC214" s="181"/>
      <c r="UMD214" s="181"/>
      <c r="UME214" s="181"/>
      <c r="UMF214" s="181"/>
      <c r="UMG214" s="181"/>
      <c r="UMH214" s="181"/>
      <c r="UMI214" s="181"/>
      <c r="UMJ214" s="181"/>
      <c r="UMK214" s="181"/>
      <c r="UML214" s="181"/>
      <c r="UMM214" s="181"/>
      <c r="UMN214" s="181"/>
      <c r="UMO214" s="181"/>
      <c r="UMP214" s="181"/>
      <c r="UMQ214" s="181"/>
      <c r="UMR214" s="181"/>
      <c r="UMS214" s="181"/>
      <c r="UMT214" s="181"/>
      <c r="UMU214" s="181"/>
      <c r="UMV214" s="181"/>
      <c r="UMW214" s="181"/>
      <c r="UMX214" s="181"/>
      <c r="UMY214" s="181"/>
      <c r="UMZ214" s="181"/>
      <c r="UNA214" s="181"/>
      <c r="UNB214" s="181"/>
      <c r="UNC214" s="181"/>
      <c r="UND214" s="181"/>
      <c r="UNE214" s="181"/>
      <c r="UNF214" s="181"/>
      <c r="UNG214" s="181"/>
      <c r="UNH214" s="181"/>
      <c r="UNI214" s="181"/>
      <c r="UNJ214" s="181"/>
      <c r="UNK214" s="181"/>
      <c r="UNL214" s="181"/>
      <c r="UNM214" s="181"/>
      <c r="UNN214" s="181"/>
      <c r="UNO214" s="181"/>
      <c r="UNP214" s="181"/>
      <c r="UNQ214" s="181"/>
      <c r="UNR214" s="181"/>
      <c r="UNS214" s="181"/>
      <c r="UNT214" s="181"/>
      <c r="UNU214" s="181"/>
      <c r="UNV214" s="181"/>
      <c r="UNW214" s="181"/>
      <c r="UNX214" s="181"/>
      <c r="UNY214" s="181"/>
      <c r="UNZ214" s="181"/>
      <c r="UOA214" s="181"/>
      <c r="UOB214" s="181"/>
      <c r="UOC214" s="181"/>
      <c r="UOD214" s="181"/>
      <c r="UOE214" s="181"/>
      <c r="UOF214" s="181"/>
      <c r="UOG214" s="181"/>
      <c r="UOH214" s="181"/>
      <c r="UOI214" s="181"/>
      <c r="UOJ214" s="181"/>
      <c r="UOK214" s="181"/>
      <c r="UOL214" s="181"/>
      <c r="UOM214" s="181"/>
      <c r="UON214" s="181"/>
      <c r="UOO214" s="181"/>
      <c r="UOP214" s="181"/>
      <c r="UOQ214" s="181"/>
      <c r="UOR214" s="181"/>
      <c r="UOS214" s="181"/>
      <c r="UOT214" s="181"/>
      <c r="UOU214" s="181"/>
      <c r="UOV214" s="181"/>
      <c r="UOW214" s="181"/>
      <c r="UOX214" s="181"/>
      <c r="UOY214" s="181"/>
      <c r="UOZ214" s="181"/>
      <c r="UPA214" s="181"/>
      <c r="UPB214" s="181"/>
      <c r="UPC214" s="181"/>
      <c r="UPD214" s="181"/>
      <c r="UPE214" s="181"/>
      <c r="UPF214" s="181"/>
      <c r="UPG214" s="181"/>
      <c r="UPH214" s="181"/>
      <c r="UPI214" s="181"/>
      <c r="UPJ214" s="181"/>
      <c r="UPK214" s="181"/>
      <c r="UPL214" s="181"/>
      <c r="UPM214" s="181"/>
      <c r="UPN214" s="181"/>
      <c r="UPO214" s="181"/>
      <c r="UPP214" s="181"/>
      <c r="UPQ214" s="181"/>
      <c r="UPR214" s="181"/>
      <c r="UPS214" s="181"/>
      <c r="UPT214" s="181"/>
      <c r="UPU214" s="181"/>
      <c r="UPV214" s="181"/>
      <c r="UPW214" s="181"/>
      <c r="UPX214" s="181"/>
      <c r="UPY214" s="181"/>
      <c r="UPZ214" s="181"/>
      <c r="UQA214" s="181"/>
      <c r="UQB214" s="181"/>
      <c r="UQC214" s="181"/>
      <c r="UQD214" s="181"/>
      <c r="UQE214" s="181"/>
      <c r="UQF214" s="181"/>
      <c r="UQG214" s="181"/>
      <c r="UQH214" s="181"/>
      <c r="UQI214" s="181"/>
      <c r="UQJ214" s="181"/>
      <c r="UQK214" s="181"/>
      <c r="UQL214" s="181"/>
      <c r="UQM214" s="181"/>
      <c r="UQN214" s="181"/>
      <c r="UQO214" s="181"/>
      <c r="UQP214" s="181"/>
      <c r="UQQ214" s="181"/>
      <c r="UQR214" s="181"/>
      <c r="UQS214" s="181"/>
      <c r="UQT214" s="181"/>
      <c r="UQU214" s="181"/>
      <c r="UQV214" s="181"/>
      <c r="UQW214" s="181"/>
      <c r="UQX214" s="181"/>
      <c r="UQY214" s="181"/>
      <c r="UQZ214" s="181"/>
      <c r="URA214" s="181"/>
      <c r="URB214" s="181"/>
      <c r="URC214" s="181"/>
      <c r="URD214" s="181"/>
      <c r="URE214" s="181"/>
      <c r="URF214" s="181"/>
      <c r="URG214" s="181"/>
      <c r="URH214" s="181"/>
      <c r="URI214" s="181"/>
      <c r="URJ214" s="181"/>
      <c r="URK214" s="181"/>
      <c r="URL214" s="181"/>
      <c r="URM214" s="181"/>
      <c r="URN214" s="181"/>
      <c r="URO214" s="181"/>
      <c r="URP214" s="181"/>
      <c r="URQ214" s="181"/>
      <c r="URR214" s="181"/>
      <c r="URS214" s="181"/>
      <c r="URT214" s="181"/>
      <c r="URU214" s="181"/>
      <c r="URV214" s="181"/>
      <c r="URW214" s="181"/>
      <c r="URX214" s="181"/>
      <c r="URY214" s="181"/>
      <c r="URZ214" s="181"/>
      <c r="USA214" s="181"/>
      <c r="USB214" s="181"/>
      <c r="USC214" s="181"/>
      <c r="USD214" s="181"/>
      <c r="USE214" s="181"/>
      <c r="USF214" s="181"/>
      <c r="USG214" s="181"/>
      <c r="USH214" s="181"/>
      <c r="USI214" s="181"/>
      <c r="USJ214" s="181"/>
      <c r="USK214" s="181"/>
      <c r="USL214" s="181"/>
      <c r="USM214" s="181"/>
      <c r="USN214" s="181"/>
      <c r="USO214" s="181"/>
      <c r="USP214" s="181"/>
      <c r="USQ214" s="181"/>
      <c r="USR214" s="181"/>
      <c r="USS214" s="181"/>
      <c r="UST214" s="181"/>
      <c r="USU214" s="181"/>
      <c r="USV214" s="181"/>
      <c r="USW214" s="181"/>
      <c r="USX214" s="181"/>
      <c r="USY214" s="181"/>
      <c r="USZ214" s="181"/>
      <c r="UTA214" s="181"/>
      <c r="UTB214" s="181"/>
      <c r="UTC214" s="181"/>
      <c r="UTD214" s="181"/>
      <c r="UTE214" s="181"/>
      <c r="UTF214" s="181"/>
      <c r="UTG214" s="181"/>
      <c r="UTH214" s="181"/>
      <c r="UTI214" s="181"/>
      <c r="UTJ214" s="181"/>
      <c r="UTK214" s="181"/>
      <c r="UTL214" s="181"/>
      <c r="UTM214" s="181"/>
      <c r="UTN214" s="181"/>
      <c r="UTO214" s="181"/>
      <c r="UTP214" s="181"/>
      <c r="UTQ214" s="181"/>
      <c r="UTR214" s="181"/>
      <c r="UTS214" s="181"/>
      <c r="UTT214" s="181"/>
      <c r="UTU214" s="181"/>
      <c r="UTV214" s="181"/>
      <c r="UTW214" s="181"/>
      <c r="UTX214" s="181"/>
      <c r="UTY214" s="181"/>
      <c r="UTZ214" s="181"/>
      <c r="UUA214" s="181"/>
      <c r="UUB214" s="181"/>
      <c r="UUC214" s="181"/>
      <c r="UUD214" s="181"/>
      <c r="UUE214" s="181"/>
      <c r="UUF214" s="181"/>
      <c r="UUG214" s="181"/>
      <c r="UUH214" s="181"/>
      <c r="UUI214" s="181"/>
      <c r="UUJ214" s="181"/>
      <c r="UUK214" s="181"/>
      <c r="UUL214" s="181"/>
      <c r="UUM214" s="181"/>
      <c r="UUN214" s="181"/>
      <c r="UUO214" s="181"/>
      <c r="UUP214" s="181"/>
      <c r="UUQ214" s="181"/>
      <c r="UUR214" s="181"/>
      <c r="UUS214" s="181"/>
      <c r="UUT214" s="181"/>
      <c r="UUU214" s="181"/>
      <c r="UUV214" s="181"/>
      <c r="UUW214" s="181"/>
      <c r="UUX214" s="181"/>
      <c r="UUY214" s="181"/>
      <c r="UUZ214" s="181"/>
      <c r="UVA214" s="181"/>
      <c r="UVB214" s="181"/>
      <c r="UVC214" s="181"/>
      <c r="UVD214" s="181"/>
      <c r="UVE214" s="181"/>
      <c r="UVF214" s="181"/>
      <c r="UVG214" s="181"/>
      <c r="UVH214" s="181"/>
      <c r="UVI214" s="181"/>
      <c r="UVJ214" s="181"/>
      <c r="UVK214" s="181"/>
      <c r="UVL214" s="181"/>
      <c r="UVM214" s="181"/>
      <c r="UVN214" s="181"/>
      <c r="UVO214" s="181"/>
      <c r="UVP214" s="181"/>
      <c r="UVQ214" s="181"/>
      <c r="UVR214" s="181"/>
      <c r="UVS214" s="181"/>
      <c r="UVT214" s="181"/>
      <c r="UVU214" s="181"/>
      <c r="UVV214" s="181"/>
      <c r="UVW214" s="181"/>
      <c r="UVX214" s="181"/>
      <c r="UVY214" s="181"/>
      <c r="UVZ214" s="181"/>
      <c r="UWA214" s="181"/>
      <c r="UWB214" s="181"/>
      <c r="UWC214" s="181"/>
      <c r="UWD214" s="181"/>
      <c r="UWE214" s="181"/>
      <c r="UWF214" s="181"/>
      <c r="UWG214" s="181"/>
      <c r="UWH214" s="181"/>
      <c r="UWI214" s="181"/>
      <c r="UWJ214" s="181"/>
      <c r="UWK214" s="181"/>
      <c r="UWL214" s="181"/>
      <c r="UWM214" s="181"/>
      <c r="UWN214" s="181"/>
      <c r="UWO214" s="181"/>
      <c r="UWP214" s="181"/>
      <c r="UWQ214" s="181"/>
      <c r="UWR214" s="181"/>
      <c r="UWS214" s="181"/>
      <c r="UWT214" s="181"/>
      <c r="UWU214" s="181"/>
      <c r="UWV214" s="181"/>
      <c r="UWW214" s="181"/>
      <c r="UWX214" s="181"/>
      <c r="UWY214" s="181"/>
      <c r="UWZ214" s="181"/>
      <c r="UXA214" s="181"/>
      <c r="UXB214" s="181"/>
      <c r="UXC214" s="181"/>
      <c r="UXD214" s="181"/>
      <c r="UXE214" s="181"/>
      <c r="UXF214" s="181"/>
      <c r="UXG214" s="181"/>
      <c r="UXH214" s="181"/>
      <c r="UXI214" s="181"/>
      <c r="UXJ214" s="181"/>
      <c r="UXK214" s="181"/>
      <c r="UXL214" s="181"/>
      <c r="UXM214" s="181"/>
      <c r="UXN214" s="181"/>
      <c r="UXO214" s="181"/>
      <c r="UXP214" s="181"/>
      <c r="UXQ214" s="181"/>
      <c r="UXR214" s="181"/>
      <c r="UXS214" s="181"/>
      <c r="UXT214" s="181"/>
      <c r="UXU214" s="181"/>
      <c r="UXV214" s="181"/>
      <c r="UXW214" s="181"/>
      <c r="UXX214" s="181"/>
      <c r="UXY214" s="181"/>
      <c r="UXZ214" s="181"/>
      <c r="UYA214" s="181"/>
      <c r="UYB214" s="181"/>
      <c r="UYC214" s="181"/>
      <c r="UYD214" s="181"/>
      <c r="UYE214" s="181"/>
      <c r="UYF214" s="181"/>
      <c r="UYG214" s="181"/>
      <c r="UYH214" s="181"/>
      <c r="UYI214" s="181"/>
      <c r="UYJ214" s="181"/>
      <c r="UYK214" s="181"/>
      <c r="UYL214" s="181"/>
      <c r="UYM214" s="181"/>
      <c r="UYN214" s="181"/>
      <c r="UYO214" s="181"/>
      <c r="UYP214" s="181"/>
      <c r="UYQ214" s="181"/>
      <c r="UYR214" s="181"/>
      <c r="UYS214" s="181"/>
      <c r="UYT214" s="181"/>
      <c r="UYU214" s="181"/>
      <c r="UYV214" s="181"/>
      <c r="UYW214" s="181"/>
      <c r="UYX214" s="181"/>
      <c r="UYY214" s="181"/>
      <c r="UYZ214" s="181"/>
      <c r="UZA214" s="181"/>
      <c r="UZB214" s="181"/>
      <c r="UZC214" s="181"/>
      <c r="UZD214" s="181"/>
      <c r="UZE214" s="181"/>
      <c r="UZF214" s="181"/>
      <c r="UZG214" s="181"/>
      <c r="UZH214" s="181"/>
      <c r="UZI214" s="181"/>
      <c r="UZJ214" s="181"/>
      <c r="UZK214" s="181"/>
      <c r="UZL214" s="181"/>
      <c r="UZM214" s="181"/>
      <c r="UZN214" s="181"/>
      <c r="UZO214" s="181"/>
      <c r="UZP214" s="181"/>
      <c r="UZQ214" s="181"/>
      <c r="UZR214" s="181"/>
      <c r="UZS214" s="181"/>
      <c r="UZT214" s="181"/>
      <c r="UZU214" s="181"/>
      <c r="UZV214" s="181"/>
      <c r="UZW214" s="181"/>
      <c r="UZX214" s="181"/>
      <c r="UZY214" s="181"/>
      <c r="UZZ214" s="181"/>
      <c r="VAA214" s="181"/>
      <c r="VAB214" s="181"/>
      <c r="VAC214" s="181"/>
      <c r="VAD214" s="181"/>
      <c r="VAE214" s="181"/>
      <c r="VAF214" s="181"/>
      <c r="VAG214" s="181"/>
      <c r="VAH214" s="181"/>
      <c r="VAI214" s="181"/>
      <c r="VAJ214" s="181"/>
      <c r="VAK214" s="181"/>
      <c r="VAL214" s="181"/>
      <c r="VAM214" s="181"/>
      <c r="VAN214" s="181"/>
      <c r="VAO214" s="181"/>
      <c r="VAP214" s="181"/>
      <c r="VAQ214" s="181"/>
      <c r="VAR214" s="181"/>
      <c r="VAS214" s="181"/>
      <c r="VAT214" s="181"/>
      <c r="VAU214" s="181"/>
      <c r="VAV214" s="181"/>
      <c r="VAW214" s="181"/>
      <c r="VAX214" s="181"/>
      <c r="VAY214" s="181"/>
      <c r="VAZ214" s="181"/>
      <c r="VBA214" s="181"/>
      <c r="VBB214" s="181"/>
      <c r="VBC214" s="181"/>
      <c r="VBD214" s="181"/>
      <c r="VBE214" s="181"/>
      <c r="VBF214" s="181"/>
      <c r="VBG214" s="181"/>
      <c r="VBH214" s="181"/>
      <c r="VBI214" s="181"/>
      <c r="VBJ214" s="181"/>
      <c r="VBK214" s="181"/>
      <c r="VBL214" s="181"/>
      <c r="VBM214" s="181"/>
      <c r="VBN214" s="181"/>
      <c r="VBO214" s="181"/>
      <c r="VBP214" s="181"/>
      <c r="VBQ214" s="181"/>
      <c r="VBR214" s="181"/>
      <c r="VBS214" s="181"/>
      <c r="VBT214" s="181"/>
      <c r="VBU214" s="181"/>
      <c r="VBV214" s="181"/>
      <c r="VBW214" s="181"/>
      <c r="VBX214" s="181"/>
      <c r="VBY214" s="181"/>
      <c r="VBZ214" s="181"/>
      <c r="VCA214" s="181"/>
      <c r="VCB214" s="181"/>
      <c r="VCC214" s="181"/>
      <c r="VCD214" s="181"/>
      <c r="VCE214" s="181"/>
      <c r="VCF214" s="181"/>
      <c r="VCG214" s="181"/>
      <c r="VCH214" s="181"/>
      <c r="VCI214" s="181"/>
      <c r="VCJ214" s="181"/>
      <c r="VCK214" s="181"/>
      <c r="VCL214" s="181"/>
      <c r="VCM214" s="181"/>
      <c r="VCN214" s="181"/>
      <c r="VCO214" s="181"/>
      <c r="VCP214" s="181"/>
      <c r="VCQ214" s="181"/>
      <c r="VCR214" s="181"/>
      <c r="VCS214" s="181"/>
      <c r="VCT214" s="181"/>
      <c r="VCU214" s="181"/>
      <c r="VCV214" s="181"/>
      <c r="VCW214" s="181"/>
      <c r="VCX214" s="181"/>
      <c r="VCY214" s="181"/>
      <c r="VCZ214" s="181"/>
      <c r="VDA214" s="181"/>
      <c r="VDB214" s="181"/>
      <c r="VDC214" s="181"/>
      <c r="VDD214" s="181"/>
      <c r="VDE214" s="181"/>
      <c r="VDF214" s="181"/>
      <c r="VDG214" s="181"/>
      <c r="VDH214" s="181"/>
      <c r="VDI214" s="181"/>
      <c r="VDJ214" s="181"/>
      <c r="VDK214" s="181"/>
      <c r="VDL214" s="181"/>
      <c r="VDM214" s="181"/>
      <c r="VDN214" s="181"/>
      <c r="VDO214" s="181"/>
      <c r="VDP214" s="181"/>
      <c r="VDQ214" s="181"/>
      <c r="VDR214" s="181"/>
      <c r="VDS214" s="181"/>
      <c r="VDT214" s="181"/>
      <c r="VDU214" s="181"/>
      <c r="VDV214" s="181"/>
      <c r="VDW214" s="181"/>
      <c r="VDX214" s="181"/>
      <c r="VDY214" s="181"/>
      <c r="VDZ214" s="181"/>
      <c r="VEA214" s="181"/>
      <c r="VEB214" s="181"/>
      <c r="VEC214" s="181"/>
      <c r="VED214" s="181"/>
      <c r="VEE214" s="181"/>
      <c r="VEF214" s="181"/>
      <c r="VEG214" s="181"/>
      <c r="VEH214" s="181"/>
      <c r="VEI214" s="181"/>
      <c r="VEJ214" s="181"/>
      <c r="VEK214" s="181"/>
      <c r="VEL214" s="181"/>
      <c r="VEM214" s="181"/>
      <c r="VEN214" s="181"/>
      <c r="VEO214" s="181"/>
      <c r="VEP214" s="181"/>
      <c r="VEQ214" s="181"/>
      <c r="VER214" s="181"/>
      <c r="VES214" s="181"/>
      <c r="VET214" s="181"/>
      <c r="VEU214" s="181"/>
      <c r="VEV214" s="181"/>
      <c r="VEW214" s="181"/>
      <c r="VEX214" s="181"/>
      <c r="VEY214" s="181"/>
      <c r="VEZ214" s="181"/>
      <c r="VFA214" s="181"/>
      <c r="VFB214" s="181"/>
      <c r="VFC214" s="181"/>
      <c r="VFD214" s="181"/>
      <c r="VFE214" s="181"/>
      <c r="VFF214" s="181"/>
      <c r="VFG214" s="181"/>
      <c r="VFH214" s="181"/>
      <c r="VFI214" s="181"/>
      <c r="VFJ214" s="181"/>
      <c r="VFK214" s="181"/>
      <c r="VFL214" s="181"/>
      <c r="VFM214" s="181"/>
      <c r="VFN214" s="181"/>
      <c r="VFO214" s="181"/>
      <c r="VFP214" s="181"/>
      <c r="VFQ214" s="181"/>
      <c r="VFR214" s="181"/>
      <c r="VFS214" s="181"/>
      <c r="VFT214" s="181"/>
      <c r="VFU214" s="181"/>
      <c r="VFV214" s="181"/>
      <c r="VFW214" s="181"/>
      <c r="VFX214" s="181"/>
      <c r="VFY214" s="181"/>
      <c r="VFZ214" s="181"/>
      <c r="VGA214" s="181"/>
      <c r="VGB214" s="181"/>
      <c r="VGC214" s="181"/>
      <c r="VGD214" s="181"/>
      <c r="VGE214" s="181"/>
      <c r="VGF214" s="181"/>
      <c r="VGG214" s="181"/>
      <c r="VGH214" s="181"/>
      <c r="VGI214" s="181"/>
      <c r="VGJ214" s="181"/>
      <c r="VGK214" s="181"/>
      <c r="VGL214" s="181"/>
      <c r="VGM214" s="181"/>
      <c r="VGN214" s="181"/>
      <c r="VGO214" s="181"/>
      <c r="VGP214" s="181"/>
      <c r="VGQ214" s="181"/>
      <c r="VGR214" s="181"/>
      <c r="VGS214" s="181"/>
      <c r="VGT214" s="181"/>
      <c r="VGU214" s="181"/>
      <c r="VGV214" s="181"/>
      <c r="VGW214" s="181"/>
      <c r="VGX214" s="181"/>
      <c r="VGY214" s="181"/>
      <c r="VGZ214" s="181"/>
      <c r="VHA214" s="181"/>
      <c r="VHB214" s="181"/>
      <c r="VHC214" s="181"/>
      <c r="VHD214" s="181"/>
      <c r="VHE214" s="181"/>
      <c r="VHF214" s="181"/>
      <c r="VHG214" s="181"/>
      <c r="VHH214" s="181"/>
      <c r="VHI214" s="181"/>
      <c r="VHJ214" s="181"/>
      <c r="VHK214" s="181"/>
      <c r="VHL214" s="181"/>
      <c r="VHM214" s="181"/>
      <c r="VHN214" s="181"/>
      <c r="VHO214" s="181"/>
      <c r="VHP214" s="181"/>
      <c r="VHQ214" s="181"/>
      <c r="VHR214" s="181"/>
      <c r="VHS214" s="181"/>
      <c r="VHT214" s="181"/>
      <c r="VHU214" s="181"/>
      <c r="VHV214" s="181"/>
      <c r="VHW214" s="181"/>
      <c r="VHX214" s="181"/>
      <c r="VHY214" s="181"/>
      <c r="VHZ214" s="181"/>
      <c r="VIA214" s="181"/>
      <c r="VIB214" s="181"/>
      <c r="VIC214" s="181"/>
      <c r="VID214" s="181"/>
      <c r="VIE214" s="181"/>
      <c r="VIF214" s="181"/>
      <c r="VIG214" s="181"/>
      <c r="VIH214" s="181"/>
      <c r="VII214" s="181"/>
      <c r="VIJ214" s="181"/>
      <c r="VIK214" s="181"/>
      <c r="VIL214" s="181"/>
      <c r="VIM214" s="181"/>
      <c r="VIN214" s="181"/>
      <c r="VIO214" s="181"/>
      <c r="VIP214" s="181"/>
      <c r="VIQ214" s="181"/>
      <c r="VIR214" s="181"/>
      <c r="VIS214" s="181"/>
      <c r="VIT214" s="181"/>
      <c r="VIU214" s="181"/>
      <c r="VIV214" s="181"/>
      <c r="VIW214" s="181"/>
      <c r="VIX214" s="181"/>
      <c r="VIY214" s="181"/>
      <c r="VIZ214" s="181"/>
      <c r="VJA214" s="181"/>
      <c r="VJB214" s="181"/>
      <c r="VJC214" s="181"/>
      <c r="VJD214" s="181"/>
      <c r="VJE214" s="181"/>
      <c r="VJF214" s="181"/>
      <c r="VJG214" s="181"/>
      <c r="VJH214" s="181"/>
      <c r="VJI214" s="181"/>
      <c r="VJJ214" s="181"/>
      <c r="VJK214" s="181"/>
      <c r="VJL214" s="181"/>
      <c r="VJM214" s="181"/>
      <c r="VJN214" s="181"/>
      <c r="VJO214" s="181"/>
      <c r="VJP214" s="181"/>
      <c r="VJQ214" s="181"/>
      <c r="VJR214" s="181"/>
      <c r="VJS214" s="181"/>
      <c r="VJT214" s="181"/>
      <c r="VJU214" s="181"/>
      <c r="VJV214" s="181"/>
      <c r="VJW214" s="181"/>
      <c r="VJX214" s="181"/>
      <c r="VJY214" s="181"/>
      <c r="VJZ214" s="181"/>
      <c r="VKA214" s="181"/>
      <c r="VKB214" s="181"/>
      <c r="VKC214" s="181"/>
      <c r="VKD214" s="181"/>
      <c r="VKE214" s="181"/>
      <c r="VKF214" s="181"/>
      <c r="VKG214" s="181"/>
      <c r="VKH214" s="181"/>
      <c r="VKI214" s="181"/>
      <c r="VKJ214" s="181"/>
      <c r="VKK214" s="181"/>
      <c r="VKL214" s="181"/>
      <c r="VKM214" s="181"/>
      <c r="VKN214" s="181"/>
      <c r="VKO214" s="181"/>
      <c r="VKP214" s="181"/>
      <c r="VKQ214" s="181"/>
      <c r="VKR214" s="181"/>
      <c r="VKS214" s="181"/>
      <c r="VKT214" s="181"/>
      <c r="VKU214" s="181"/>
      <c r="VKV214" s="181"/>
      <c r="VKW214" s="181"/>
      <c r="VKX214" s="181"/>
      <c r="VKY214" s="181"/>
      <c r="VKZ214" s="181"/>
      <c r="VLA214" s="181"/>
      <c r="VLB214" s="181"/>
      <c r="VLC214" s="181"/>
      <c r="VLD214" s="181"/>
      <c r="VLE214" s="181"/>
      <c r="VLF214" s="181"/>
      <c r="VLG214" s="181"/>
      <c r="VLH214" s="181"/>
      <c r="VLI214" s="181"/>
      <c r="VLJ214" s="181"/>
      <c r="VLK214" s="181"/>
      <c r="VLL214" s="181"/>
      <c r="VLM214" s="181"/>
      <c r="VLN214" s="181"/>
      <c r="VLO214" s="181"/>
      <c r="VLP214" s="181"/>
      <c r="VLQ214" s="181"/>
      <c r="VLR214" s="181"/>
      <c r="VLS214" s="181"/>
      <c r="VLT214" s="181"/>
      <c r="VLU214" s="181"/>
      <c r="VLV214" s="181"/>
      <c r="VLW214" s="181"/>
      <c r="VLX214" s="181"/>
      <c r="VLY214" s="181"/>
      <c r="VLZ214" s="181"/>
      <c r="VMA214" s="181"/>
      <c r="VMB214" s="181"/>
      <c r="VMC214" s="181"/>
      <c r="VMD214" s="181"/>
      <c r="VME214" s="181"/>
      <c r="VMF214" s="181"/>
      <c r="VMG214" s="181"/>
      <c r="VMH214" s="181"/>
      <c r="VMI214" s="181"/>
      <c r="VMJ214" s="181"/>
      <c r="VMK214" s="181"/>
      <c r="VML214" s="181"/>
      <c r="VMM214" s="181"/>
      <c r="VMN214" s="181"/>
      <c r="VMO214" s="181"/>
      <c r="VMP214" s="181"/>
      <c r="VMQ214" s="181"/>
      <c r="VMR214" s="181"/>
      <c r="VMS214" s="181"/>
      <c r="VMT214" s="181"/>
      <c r="VMU214" s="181"/>
      <c r="VMV214" s="181"/>
      <c r="VMW214" s="181"/>
      <c r="VMX214" s="181"/>
      <c r="VMY214" s="181"/>
      <c r="VMZ214" s="181"/>
      <c r="VNA214" s="181"/>
      <c r="VNB214" s="181"/>
      <c r="VNC214" s="181"/>
      <c r="VND214" s="181"/>
      <c r="VNE214" s="181"/>
      <c r="VNF214" s="181"/>
      <c r="VNG214" s="181"/>
      <c r="VNH214" s="181"/>
      <c r="VNI214" s="181"/>
      <c r="VNJ214" s="181"/>
      <c r="VNK214" s="181"/>
      <c r="VNL214" s="181"/>
      <c r="VNM214" s="181"/>
      <c r="VNN214" s="181"/>
      <c r="VNO214" s="181"/>
      <c r="VNP214" s="181"/>
      <c r="VNQ214" s="181"/>
      <c r="VNR214" s="181"/>
      <c r="VNS214" s="181"/>
      <c r="VNT214" s="181"/>
      <c r="VNU214" s="181"/>
      <c r="VNV214" s="181"/>
      <c r="VNW214" s="181"/>
      <c r="VNX214" s="181"/>
      <c r="VNY214" s="181"/>
      <c r="VNZ214" s="181"/>
      <c r="VOA214" s="181"/>
      <c r="VOB214" s="181"/>
      <c r="VOC214" s="181"/>
      <c r="VOD214" s="181"/>
      <c r="VOE214" s="181"/>
      <c r="VOF214" s="181"/>
      <c r="VOG214" s="181"/>
      <c r="VOH214" s="181"/>
      <c r="VOI214" s="181"/>
      <c r="VOJ214" s="181"/>
      <c r="VOK214" s="181"/>
      <c r="VOL214" s="181"/>
      <c r="VOM214" s="181"/>
      <c r="VON214" s="181"/>
      <c r="VOO214" s="181"/>
      <c r="VOP214" s="181"/>
      <c r="VOQ214" s="181"/>
      <c r="VOR214" s="181"/>
      <c r="VOS214" s="181"/>
      <c r="VOT214" s="181"/>
      <c r="VOU214" s="181"/>
      <c r="VOV214" s="181"/>
      <c r="VOW214" s="181"/>
      <c r="VOX214" s="181"/>
      <c r="VOY214" s="181"/>
      <c r="VOZ214" s="181"/>
      <c r="VPA214" s="181"/>
      <c r="VPB214" s="181"/>
      <c r="VPC214" s="181"/>
      <c r="VPD214" s="181"/>
      <c r="VPE214" s="181"/>
      <c r="VPF214" s="181"/>
      <c r="VPG214" s="181"/>
      <c r="VPH214" s="181"/>
      <c r="VPI214" s="181"/>
      <c r="VPJ214" s="181"/>
      <c r="VPK214" s="181"/>
      <c r="VPL214" s="181"/>
      <c r="VPM214" s="181"/>
      <c r="VPN214" s="181"/>
      <c r="VPO214" s="181"/>
      <c r="VPP214" s="181"/>
      <c r="VPQ214" s="181"/>
      <c r="VPR214" s="181"/>
      <c r="VPS214" s="181"/>
      <c r="VPT214" s="181"/>
      <c r="VPU214" s="181"/>
      <c r="VPV214" s="181"/>
      <c r="VPW214" s="181"/>
      <c r="VPX214" s="181"/>
      <c r="VPY214" s="181"/>
      <c r="VPZ214" s="181"/>
      <c r="VQA214" s="181"/>
      <c r="VQB214" s="181"/>
      <c r="VQC214" s="181"/>
      <c r="VQD214" s="181"/>
      <c r="VQE214" s="181"/>
      <c r="VQF214" s="181"/>
      <c r="VQG214" s="181"/>
      <c r="VQH214" s="181"/>
      <c r="VQI214" s="181"/>
      <c r="VQJ214" s="181"/>
      <c r="VQK214" s="181"/>
      <c r="VQL214" s="181"/>
      <c r="VQM214" s="181"/>
      <c r="VQN214" s="181"/>
      <c r="VQO214" s="181"/>
      <c r="VQP214" s="181"/>
      <c r="VQQ214" s="181"/>
      <c r="VQR214" s="181"/>
      <c r="VQS214" s="181"/>
      <c r="VQT214" s="181"/>
      <c r="VQU214" s="181"/>
      <c r="VQV214" s="181"/>
      <c r="VQW214" s="181"/>
      <c r="VQX214" s="181"/>
      <c r="VQY214" s="181"/>
      <c r="VQZ214" s="181"/>
      <c r="VRA214" s="181"/>
      <c r="VRB214" s="181"/>
      <c r="VRC214" s="181"/>
      <c r="VRD214" s="181"/>
      <c r="VRE214" s="181"/>
      <c r="VRF214" s="181"/>
      <c r="VRG214" s="181"/>
      <c r="VRH214" s="181"/>
      <c r="VRI214" s="181"/>
      <c r="VRJ214" s="181"/>
      <c r="VRK214" s="181"/>
      <c r="VRL214" s="181"/>
      <c r="VRM214" s="181"/>
      <c r="VRN214" s="181"/>
      <c r="VRO214" s="181"/>
      <c r="VRP214" s="181"/>
      <c r="VRQ214" s="181"/>
      <c r="VRR214" s="181"/>
      <c r="VRS214" s="181"/>
      <c r="VRT214" s="181"/>
      <c r="VRU214" s="181"/>
      <c r="VRV214" s="181"/>
      <c r="VRW214" s="181"/>
      <c r="VRX214" s="181"/>
      <c r="VRY214" s="181"/>
      <c r="VRZ214" s="181"/>
      <c r="VSA214" s="181"/>
      <c r="VSB214" s="181"/>
      <c r="VSC214" s="181"/>
      <c r="VSD214" s="181"/>
      <c r="VSE214" s="181"/>
      <c r="VSF214" s="181"/>
      <c r="VSG214" s="181"/>
      <c r="VSH214" s="181"/>
      <c r="VSI214" s="181"/>
      <c r="VSJ214" s="181"/>
      <c r="VSK214" s="181"/>
      <c r="VSL214" s="181"/>
      <c r="VSM214" s="181"/>
      <c r="VSN214" s="181"/>
      <c r="VSO214" s="181"/>
      <c r="VSP214" s="181"/>
      <c r="VSQ214" s="181"/>
      <c r="VSR214" s="181"/>
      <c r="VSS214" s="181"/>
      <c r="VST214" s="181"/>
      <c r="VSU214" s="181"/>
      <c r="VSV214" s="181"/>
      <c r="VSW214" s="181"/>
      <c r="VSX214" s="181"/>
      <c r="VSY214" s="181"/>
      <c r="VSZ214" s="181"/>
      <c r="VTA214" s="181"/>
      <c r="VTB214" s="181"/>
      <c r="VTC214" s="181"/>
      <c r="VTD214" s="181"/>
      <c r="VTE214" s="181"/>
      <c r="VTF214" s="181"/>
      <c r="VTG214" s="181"/>
      <c r="VTH214" s="181"/>
      <c r="VTI214" s="181"/>
      <c r="VTJ214" s="181"/>
      <c r="VTK214" s="181"/>
      <c r="VTL214" s="181"/>
      <c r="VTM214" s="181"/>
      <c r="VTN214" s="181"/>
      <c r="VTO214" s="181"/>
      <c r="VTP214" s="181"/>
      <c r="VTQ214" s="181"/>
      <c r="VTR214" s="181"/>
      <c r="VTS214" s="181"/>
      <c r="VTT214" s="181"/>
      <c r="VTU214" s="181"/>
      <c r="VTV214" s="181"/>
      <c r="VTW214" s="181"/>
      <c r="VTX214" s="181"/>
      <c r="VTY214" s="181"/>
      <c r="VTZ214" s="181"/>
      <c r="VUA214" s="181"/>
      <c r="VUB214" s="181"/>
      <c r="VUC214" s="181"/>
      <c r="VUD214" s="181"/>
      <c r="VUE214" s="181"/>
      <c r="VUF214" s="181"/>
      <c r="VUG214" s="181"/>
      <c r="VUH214" s="181"/>
      <c r="VUI214" s="181"/>
      <c r="VUJ214" s="181"/>
      <c r="VUK214" s="181"/>
      <c r="VUL214" s="181"/>
      <c r="VUM214" s="181"/>
      <c r="VUN214" s="181"/>
      <c r="VUO214" s="181"/>
      <c r="VUP214" s="181"/>
      <c r="VUQ214" s="181"/>
      <c r="VUR214" s="181"/>
      <c r="VUS214" s="181"/>
      <c r="VUT214" s="181"/>
      <c r="VUU214" s="181"/>
      <c r="VUV214" s="181"/>
      <c r="VUW214" s="181"/>
      <c r="VUX214" s="181"/>
      <c r="VUY214" s="181"/>
      <c r="VUZ214" s="181"/>
      <c r="VVA214" s="181"/>
      <c r="VVB214" s="181"/>
      <c r="VVC214" s="181"/>
      <c r="VVD214" s="181"/>
      <c r="VVE214" s="181"/>
      <c r="VVF214" s="181"/>
      <c r="VVG214" s="181"/>
      <c r="VVH214" s="181"/>
      <c r="VVI214" s="181"/>
      <c r="VVJ214" s="181"/>
      <c r="VVK214" s="181"/>
      <c r="VVL214" s="181"/>
      <c r="VVM214" s="181"/>
      <c r="VVN214" s="181"/>
      <c r="VVO214" s="181"/>
      <c r="VVP214" s="181"/>
      <c r="VVQ214" s="181"/>
      <c r="VVR214" s="181"/>
      <c r="VVS214" s="181"/>
      <c r="VVT214" s="181"/>
      <c r="VVU214" s="181"/>
      <c r="VVV214" s="181"/>
      <c r="VVW214" s="181"/>
      <c r="VVX214" s="181"/>
      <c r="VVY214" s="181"/>
      <c r="VVZ214" s="181"/>
      <c r="VWA214" s="181"/>
      <c r="VWB214" s="181"/>
      <c r="VWC214" s="181"/>
      <c r="VWD214" s="181"/>
      <c r="VWE214" s="181"/>
      <c r="VWF214" s="181"/>
      <c r="VWG214" s="181"/>
      <c r="VWH214" s="181"/>
      <c r="VWI214" s="181"/>
      <c r="VWJ214" s="181"/>
      <c r="VWK214" s="181"/>
      <c r="VWL214" s="181"/>
      <c r="VWM214" s="181"/>
      <c r="VWN214" s="181"/>
      <c r="VWO214" s="181"/>
      <c r="VWP214" s="181"/>
      <c r="VWQ214" s="181"/>
      <c r="VWR214" s="181"/>
      <c r="VWS214" s="181"/>
      <c r="VWT214" s="181"/>
      <c r="VWU214" s="181"/>
      <c r="VWV214" s="181"/>
      <c r="VWW214" s="181"/>
      <c r="VWX214" s="181"/>
      <c r="VWY214" s="181"/>
      <c r="VWZ214" s="181"/>
      <c r="VXA214" s="181"/>
      <c r="VXB214" s="181"/>
      <c r="VXC214" s="181"/>
      <c r="VXD214" s="181"/>
      <c r="VXE214" s="181"/>
      <c r="VXF214" s="181"/>
      <c r="VXG214" s="181"/>
      <c r="VXH214" s="181"/>
      <c r="VXI214" s="181"/>
      <c r="VXJ214" s="181"/>
      <c r="VXK214" s="181"/>
      <c r="VXL214" s="181"/>
      <c r="VXM214" s="181"/>
      <c r="VXN214" s="181"/>
      <c r="VXO214" s="181"/>
      <c r="VXP214" s="181"/>
      <c r="VXQ214" s="181"/>
      <c r="VXR214" s="181"/>
      <c r="VXS214" s="181"/>
      <c r="VXT214" s="181"/>
      <c r="VXU214" s="181"/>
      <c r="VXV214" s="181"/>
      <c r="VXW214" s="181"/>
      <c r="VXX214" s="181"/>
      <c r="VXY214" s="181"/>
      <c r="VXZ214" s="181"/>
      <c r="VYA214" s="181"/>
      <c r="VYB214" s="181"/>
      <c r="VYC214" s="181"/>
      <c r="VYD214" s="181"/>
      <c r="VYE214" s="181"/>
      <c r="VYF214" s="181"/>
      <c r="VYG214" s="181"/>
      <c r="VYH214" s="181"/>
      <c r="VYI214" s="181"/>
      <c r="VYJ214" s="181"/>
      <c r="VYK214" s="181"/>
      <c r="VYL214" s="181"/>
      <c r="VYM214" s="181"/>
      <c r="VYN214" s="181"/>
      <c r="VYO214" s="181"/>
      <c r="VYP214" s="181"/>
      <c r="VYQ214" s="181"/>
      <c r="VYR214" s="181"/>
      <c r="VYS214" s="181"/>
      <c r="VYT214" s="181"/>
      <c r="VYU214" s="181"/>
      <c r="VYV214" s="181"/>
      <c r="VYW214" s="181"/>
      <c r="VYX214" s="181"/>
      <c r="VYY214" s="181"/>
      <c r="VYZ214" s="181"/>
      <c r="VZA214" s="181"/>
      <c r="VZB214" s="181"/>
      <c r="VZC214" s="181"/>
      <c r="VZD214" s="181"/>
      <c r="VZE214" s="181"/>
      <c r="VZF214" s="181"/>
      <c r="VZG214" s="181"/>
      <c r="VZH214" s="181"/>
      <c r="VZI214" s="181"/>
      <c r="VZJ214" s="181"/>
      <c r="VZK214" s="181"/>
      <c r="VZL214" s="181"/>
      <c r="VZM214" s="181"/>
      <c r="VZN214" s="181"/>
      <c r="VZO214" s="181"/>
      <c r="VZP214" s="181"/>
      <c r="VZQ214" s="181"/>
      <c r="VZR214" s="181"/>
      <c r="VZS214" s="181"/>
      <c r="VZT214" s="181"/>
      <c r="VZU214" s="181"/>
      <c r="VZV214" s="181"/>
      <c r="VZW214" s="181"/>
      <c r="VZX214" s="181"/>
      <c r="VZY214" s="181"/>
      <c r="VZZ214" s="181"/>
      <c r="WAA214" s="181"/>
      <c r="WAB214" s="181"/>
      <c r="WAC214" s="181"/>
      <c r="WAD214" s="181"/>
      <c r="WAE214" s="181"/>
      <c r="WAF214" s="181"/>
      <c r="WAG214" s="181"/>
      <c r="WAH214" s="181"/>
      <c r="WAI214" s="181"/>
      <c r="WAJ214" s="181"/>
      <c r="WAK214" s="181"/>
      <c r="WAL214" s="181"/>
      <c r="WAM214" s="181"/>
      <c r="WAN214" s="181"/>
      <c r="WAO214" s="181"/>
      <c r="WAP214" s="181"/>
      <c r="WAQ214" s="181"/>
      <c r="WAR214" s="181"/>
      <c r="WAS214" s="181"/>
      <c r="WAT214" s="181"/>
      <c r="WAU214" s="181"/>
      <c r="WAV214" s="181"/>
      <c r="WAW214" s="181"/>
      <c r="WAX214" s="181"/>
      <c r="WAY214" s="181"/>
      <c r="WAZ214" s="181"/>
      <c r="WBA214" s="181"/>
      <c r="WBB214" s="181"/>
      <c r="WBC214" s="181"/>
      <c r="WBD214" s="181"/>
      <c r="WBE214" s="181"/>
      <c r="WBF214" s="181"/>
      <c r="WBG214" s="181"/>
      <c r="WBH214" s="181"/>
      <c r="WBI214" s="181"/>
      <c r="WBJ214" s="181"/>
      <c r="WBK214" s="181"/>
      <c r="WBL214" s="181"/>
      <c r="WBM214" s="181"/>
      <c r="WBN214" s="181"/>
      <c r="WBO214" s="181"/>
      <c r="WBP214" s="181"/>
      <c r="WBQ214" s="181"/>
      <c r="WBR214" s="181"/>
      <c r="WBS214" s="181"/>
      <c r="WBT214" s="181"/>
      <c r="WBU214" s="181"/>
      <c r="WBV214" s="181"/>
      <c r="WBW214" s="181"/>
      <c r="WBX214" s="181"/>
      <c r="WBY214" s="181"/>
      <c r="WBZ214" s="181"/>
      <c r="WCA214" s="181"/>
      <c r="WCB214" s="181"/>
      <c r="WCC214" s="181"/>
      <c r="WCD214" s="181"/>
      <c r="WCE214" s="181"/>
      <c r="WCF214" s="181"/>
      <c r="WCG214" s="181"/>
      <c r="WCH214" s="181"/>
      <c r="WCI214" s="181"/>
      <c r="WCJ214" s="181"/>
      <c r="WCK214" s="181"/>
      <c r="WCL214" s="181"/>
      <c r="WCM214" s="181"/>
      <c r="WCN214" s="181"/>
      <c r="WCO214" s="181"/>
      <c r="WCP214" s="181"/>
      <c r="WCQ214" s="181"/>
      <c r="WCR214" s="181"/>
      <c r="WCS214" s="181"/>
      <c r="WCT214" s="181"/>
      <c r="WCU214" s="181"/>
      <c r="WCV214" s="181"/>
      <c r="WCW214" s="181"/>
      <c r="WCX214" s="181"/>
      <c r="WCY214" s="181"/>
      <c r="WCZ214" s="181"/>
      <c r="WDA214" s="181"/>
      <c r="WDB214" s="181"/>
      <c r="WDC214" s="181"/>
      <c r="WDD214" s="181"/>
      <c r="WDE214" s="181"/>
      <c r="WDF214" s="181"/>
      <c r="WDG214" s="181"/>
      <c r="WDH214" s="181"/>
      <c r="WDI214" s="181"/>
      <c r="WDJ214" s="181"/>
      <c r="WDK214" s="181"/>
      <c r="WDL214" s="181"/>
      <c r="WDM214" s="181"/>
      <c r="WDN214" s="181"/>
      <c r="WDO214" s="181"/>
      <c r="WDP214" s="181"/>
      <c r="WDQ214" s="181"/>
      <c r="WDR214" s="181"/>
      <c r="WDS214" s="181"/>
      <c r="WDT214" s="181"/>
      <c r="WDU214" s="181"/>
      <c r="WDV214" s="181"/>
      <c r="WDW214" s="181"/>
      <c r="WDX214" s="181"/>
      <c r="WDY214" s="181"/>
      <c r="WDZ214" s="181"/>
      <c r="WEA214" s="181"/>
      <c r="WEB214" s="181"/>
      <c r="WEC214" s="181"/>
      <c r="WED214" s="181"/>
      <c r="WEE214" s="181"/>
      <c r="WEF214" s="181"/>
      <c r="WEG214" s="181"/>
      <c r="WEH214" s="181"/>
      <c r="WEI214" s="181"/>
      <c r="WEJ214" s="181"/>
      <c r="WEK214" s="181"/>
      <c r="WEL214" s="181"/>
      <c r="WEM214" s="181"/>
      <c r="WEN214" s="181"/>
      <c r="WEO214" s="181"/>
      <c r="WEP214" s="181"/>
      <c r="WEQ214" s="181"/>
      <c r="WER214" s="181"/>
      <c r="WES214" s="181"/>
      <c r="WET214" s="181"/>
      <c r="WEU214" s="181"/>
      <c r="WEV214" s="181"/>
      <c r="WEW214" s="181"/>
      <c r="WEX214" s="181"/>
      <c r="WEY214" s="181"/>
      <c r="WEZ214" s="181"/>
      <c r="WFA214" s="181"/>
      <c r="WFB214" s="181"/>
      <c r="WFC214" s="181"/>
      <c r="WFD214" s="181"/>
      <c r="WFE214" s="181"/>
      <c r="WFF214" s="181"/>
      <c r="WFG214" s="181"/>
      <c r="WFH214" s="181"/>
      <c r="WFI214" s="181"/>
      <c r="WFJ214" s="181"/>
      <c r="WFK214" s="181"/>
      <c r="WFL214" s="181"/>
      <c r="WFM214" s="181"/>
      <c r="WFN214" s="181"/>
      <c r="WFO214" s="181"/>
      <c r="WFP214" s="181"/>
      <c r="WFQ214" s="181"/>
      <c r="WFR214" s="181"/>
      <c r="WFS214" s="181"/>
      <c r="WFT214" s="181"/>
      <c r="WFU214" s="181"/>
      <c r="WFV214" s="181"/>
      <c r="WFW214" s="181"/>
      <c r="WFX214" s="181"/>
      <c r="WFY214" s="181"/>
      <c r="WFZ214" s="181"/>
      <c r="WGA214" s="181"/>
      <c r="WGB214" s="181"/>
      <c r="WGC214" s="181"/>
      <c r="WGD214" s="181"/>
      <c r="WGE214" s="181"/>
      <c r="WGF214" s="181"/>
      <c r="WGG214" s="181"/>
      <c r="WGH214" s="181"/>
      <c r="WGI214" s="181"/>
      <c r="WGJ214" s="181"/>
      <c r="WGK214" s="181"/>
      <c r="WGL214" s="181"/>
      <c r="WGM214" s="181"/>
      <c r="WGN214" s="181"/>
      <c r="WGO214" s="181"/>
      <c r="WGP214" s="181"/>
      <c r="WGQ214" s="181"/>
      <c r="WGR214" s="181"/>
      <c r="WGS214" s="181"/>
      <c r="WGT214" s="181"/>
      <c r="WGU214" s="181"/>
      <c r="WGV214" s="181"/>
      <c r="WGW214" s="181"/>
      <c r="WGX214" s="181"/>
      <c r="WGY214" s="181"/>
      <c r="WGZ214" s="181"/>
      <c r="WHA214" s="181"/>
      <c r="WHB214" s="181"/>
      <c r="WHC214" s="181"/>
      <c r="WHD214" s="181"/>
      <c r="WHE214" s="181"/>
      <c r="WHF214" s="181"/>
      <c r="WHG214" s="181"/>
      <c r="WHH214" s="181"/>
      <c r="WHI214" s="181"/>
      <c r="WHJ214" s="181"/>
      <c r="WHK214" s="181"/>
      <c r="WHL214" s="181"/>
      <c r="WHM214" s="181"/>
      <c r="WHN214" s="181"/>
      <c r="WHO214" s="181"/>
      <c r="WHP214" s="181"/>
      <c r="WHQ214" s="181"/>
      <c r="WHR214" s="181"/>
      <c r="WHS214" s="181"/>
      <c r="WHT214" s="181"/>
      <c r="WHU214" s="181"/>
      <c r="WHV214" s="181"/>
      <c r="WHW214" s="181"/>
      <c r="WHX214" s="181"/>
      <c r="WHY214" s="181"/>
      <c r="WHZ214" s="181"/>
      <c r="WIA214" s="181"/>
      <c r="WIB214" s="181"/>
      <c r="WIC214" s="181"/>
      <c r="WID214" s="181"/>
      <c r="WIE214" s="181"/>
      <c r="WIF214" s="181"/>
      <c r="WIG214" s="181"/>
      <c r="WIH214" s="181"/>
      <c r="WII214" s="181"/>
      <c r="WIJ214" s="181"/>
      <c r="WIK214" s="181"/>
      <c r="WIL214" s="181"/>
      <c r="WIM214" s="181"/>
      <c r="WIN214" s="181"/>
      <c r="WIO214" s="181"/>
      <c r="WIP214" s="181"/>
      <c r="WIQ214" s="181"/>
      <c r="WIR214" s="181"/>
      <c r="WIS214" s="181"/>
      <c r="WIT214" s="181"/>
      <c r="WIU214" s="181"/>
      <c r="WIV214" s="181"/>
      <c r="WIW214" s="181"/>
      <c r="WIX214" s="181"/>
      <c r="WIY214" s="181"/>
      <c r="WIZ214" s="181"/>
      <c r="WJA214" s="181"/>
      <c r="WJB214" s="181"/>
      <c r="WJC214" s="181"/>
      <c r="WJD214" s="181"/>
      <c r="WJE214" s="181"/>
      <c r="WJF214" s="181"/>
      <c r="WJG214" s="181"/>
      <c r="WJH214" s="181"/>
      <c r="WJI214" s="181"/>
      <c r="WJJ214" s="181"/>
      <c r="WJK214" s="181"/>
      <c r="WJL214" s="181"/>
      <c r="WJM214" s="181"/>
      <c r="WJN214" s="181"/>
      <c r="WJO214" s="181"/>
      <c r="WJP214" s="181"/>
      <c r="WJQ214" s="181"/>
      <c r="WJR214" s="181"/>
      <c r="WJS214" s="181"/>
      <c r="WJT214" s="181"/>
      <c r="WJU214" s="181"/>
      <c r="WJV214" s="181"/>
      <c r="WJW214" s="181"/>
      <c r="WJX214" s="181"/>
      <c r="WJY214" s="181"/>
      <c r="WJZ214" s="181"/>
      <c r="WKA214" s="181"/>
      <c r="WKB214" s="181"/>
      <c r="WKC214" s="181"/>
      <c r="WKD214" s="181"/>
      <c r="WKE214" s="181"/>
      <c r="WKF214" s="181"/>
      <c r="WKG214" s="181"/>
      <c r="WKH214" s="181"/>
      <c r="WKI214" s="181"/>
      <c r="WKJ214" s="181"/>
      <c r="WKK214" s="181"/>
      <c r="WKL214" s="181"/>
      <c r="WKM214" s="181"/>
      <c r="WKN214" s="181"/>
      <c r="WKO214" s="181"/>
      <c r="WKP214" s="181"/>
      <c r="WKQ214" s="181"/>
      <c r="WKR214" s="181"/>
      <c r="WKS214" s="181"/>
      <c r="WKT214" s="181"/>
      <c r="WKU214" s="181"/>
      <c r="WKV214" s="181"/>
      <c r="WKW214" s="181"/>
      <c r="WKX214" s="181"/>
      <c r="WKY214" s="181"/>
      <c r="WKZ214" s="181"/>
      <c r="WLA214" s="181"/>
      <c r="WLB214" s="181"/>
      <c r="WLC214" s="181"/>
      <c r="WLD214" s="181"/>
      <c r="WLE214" s="181"/>
      <c r="WLF214" s="181"/>
      <c r="WLG214" s="181"/>
      <c r="WLH214" s="181"/>
      <c r="WLI214" s="181"/>
      <c r="WLJ214" s="181"/>
      <c r="WLK214" s="181"/>
      <c r="WLL214" s="181"/>
      <c r="WLM214" s="181"/>
      <c r="WLN214" s="181"/>
      <c r="WLO214" s="181"/>
      <c r="WLP214" s="181"/>
      <c r="WLQ214" s="181"/>
      <c r="WLR214" s="181"/>
      <c r="WLS214" s="181"/>
      <c r="WLT214" s="181"/>
      <c r="WLU214" s="181"/>
      <c r="WLV214" s="181"/>
      <c r="WLW214" s="181"/>
      <c r="WLX214" s="181"/>
      <c r="WLY214" s="181"/>
      <c r="WLZ214" s="181"/>
      <c r="WMA214" s="181"/>
      <c r="WMB214" s="181"/>
      <c r="WMC214" s="181"/>
      <c r="WMD214" s="181"/>
      <c r="WME214" s="181"/>
      <c r="WMF214" s="181"/>
      <c r="WMG214" s="181"/>
      <c r="WMH214" s="181"/>
      <c r="WMI214" s="181"/>
      <c r="WMJ214" s="181"/>
      <c r="WMK214" s="181"/>
      <c r="WML214" s="181"/>
      <c r="WMM214" s="181"/>
      <c r="WMN214" s="181"/>
      <c r="WMO214" s="181"/>
      <c r="WMP214" s="181"/>
      <c r="WMQ214" s="181"/>
      <c r="WMR214" s="181"/>
      <c r="WMS214" s="181"/>
      <c r="WMT214" s="181"/>
      <c r="WMU214" s="181"/>
      <c r="WMV214" s="181"/>
      <c r="WMW214" s="181"/>
      <c r="WMX214" s="181"/>
      <c r="WMY214" s="181"/>
      <c r="WMZ214" s="181"/>
      <c r="WNA214" s="181"/>
      <c r="WNB214" s="181"/>
      <c r="WNC214" s="181"/>
      <c r="WND214" s="181"/>
      <c r="WNE214" s="181"/>
      <c r="WNF214" s="181"/>
      <c r="WNG214" s="181"/>
      <c r="WNH214" s="181"/>
      <c r="WNI214" s="181"/>
      <c r="WNJ214" s="181"/>
      <c r="WNK214" s="181"/>
      <c r="WNL214" s="181"/>
      <c r="WNM214" s="181"/>
      <c r="WNN214" s="181"/>
      <c r="WNO214" s="181"/>
      <c r="WNP214" s="181"/>
      <c r="WNQ214" s="181"/>
      <c r="WNR214" s="181"/>
      <c r="WNS214" s="181"/>
      <c r="WNT214" s="181"/>
      <c r="WNU214" s="181"/>
      <c r="WNV214" s="181"/>
      <c r="WNW214" s="181"/>
      <c r="WNX214" s="181"/>
      <c r="WNY214" s="181"/>
      <c r="WNZ214" s="181"/>
      <c r="WOA214" s="181"/>
      <c r="WOB214" s="181"/>
      <c r="WOC214" s="181"/>
      <c r="WOD214" s="181"/>
      <c r="WOE214" s="181"/>
      <c r="WOF214" s="181"/>
      <c r="WOG214" s="181"/>
      <c r="WOH214" s="181"/>
      <c r="WOI214" s="181"/>
      <c r="WOJ214" s="181"/>
      <c r="WOK214" s="181"/>
      <c r="WOL214" s="181"/>
      <c r="WOM214" s="181"/>
      <c r="WON214" s="181"/>
      <c r="WOO214" s="181"/>
      <c r="WOP214" s="181"/>
      <c r="WOQ214" s="181"/>
      <c r="WOR214" s="181"/>
      <c r="WOS214" s="181"/>
      <c r="WOT214" s="181"/>
      <c r="WOU214" s="181"/>
      <c r="WOV214" s="181"/>
      <c r="WOW214" s="181"/>
      <c r="WOX214" s="181"/>
      <c r="WOY214" s="181"/>
      <c r="WOZ214" s="181"/>
      <c r="WPA214" s="181"/>
      <c r="WPB214" s="181"/>
      <c r="WPC214" s="181"/>
      <c r="WPD214" s="181"/>
      <c r="WPE214" s="181"/>
      <c r="WPF214" s="181"/>
      <c r="WPG214" s="181"/>
      <c r="WPH214" s="181"/>
      <c r="WPI214" s="181"/>
      <c r="WPJ214" s="181"/>
      <c r="WPK214" s="181"/>
      <c r="WPL214" s="181"/>
      <c r="WPM214" s="181"/>
      <c r="WPN214" s="181"/>
      <c r="WPO214" s="181"/>
      <c r="WPP214" s="181"/>
      <c r="WPQ214" s="181"/>
      <c r="WPR214" s="181"/>
      <c r="WPS214" s="181"/>
      <c r="WPT214" s="181"/>
      <c r="WPU214" s="181"/>
      <c r="WPV214" s="181"/>
      <c r="WPW214" s="181"/>
      <c r="WPX214" s="181"/>
      <c r="WPY214" s="181"/>
      <c r="WPZ214" s="181"/>
      <c r="WQA214" s="181"/>
      <c r="WQB214" s="181"/>
      <c r="WQC214" s="181"/>
      <c r="WQD214" s="181"/>
      <c r="WQE214" s="181"/>
      <c r="WQF214" s="181"/>
      <c r="WQG214" s="181"/>
      <c r="WQH214" s="181"/>
      <c r="WQI214" s="181"/>
      <c r="WQJ214" s="181"/>
      <c r="WQK214" s="181"/>
      <c r="WQL214" s="181"/>
      <c r="WQM214" s="181"/>
      <c r="WQN214" s="181"/>
      <c r="WQO214" s="181"/>
      <c r="WQP214" s="181"/>
      <c r="WQQ214" s="181"/>
      <c r="WQR214" s="181"/>
      <c r="WQS214" s="181"/>
      <c r="WQT214" s="181"/>
      <c r="WQU214" s="181"/>
      <c r="WQV214" s="181"/>
      <c r="WQW214" s="181"/>
      <c r="WQX214" s="181"/>
      <c r="WQY214" s="181"/>
      <c r="WQZ214" s="181"/>
      <c r="WRA214" s="181"/>
      <c r="WRB214" s="181"/>
      <c r="WRC214" s="181"/>
      <c r="WRD214" s="181"/>
      <c r="WRE214" s="181"/>
      <c r="WRF214" s="181"/>
      <c r="WRG214" s="181"/>
      <c r="WRH214" s="181"/>
      <c r="WRI214" s="181"/>
      <c r="WRJ214" s="181"/>
      <c r="WRK214" s="181"/>
      <c r="WRL214" s="181"/>
      <c r="WRM214" s="181"/>
      <c r="WRN214" s="181"/>
      <c r="WRO214" s="181"/>
      <c r="WRP214" s="181"/>
      <c r="WRQ214" s="181"/>
      <c r="WRR214" s="181"/>
      <c r="WRS214" s="181"/>
      <c r="WRT214" s="181"/>
      <c r="WRU214" s="181"/>
      <c r="WRV214" s="181"/>
      <c r="WRW214" s="181"/>
      <c r="WRX214" s="181"/>
      <c r="WRY214" s="181"/>
      <c r="WRZ214" s="181"/>
      <c r="WSA214" s="181"/>
      <c r="WSB214" s="181"/>
      <c r="WSC214" s="181"/>
      <c r="WSD214" s="181"/>
      <c r="WSE214" s="181"/>
      <c r="WSF214" s="181"/>
      <c r="WSG214" s="181"/>
      <c r="WSH214" s="181"/>
      <c r="WSI214" s="181"/>
      <c r="WSJ214" s="181"/>
      <c r="WSK214" s="181"/>
      <c r="WSL214" s="181"/>
      <c r="WSM214" s="181"/>
      <c r="WSN214" s="181"/>
      <c r="WSO214" s="181"/>
      <c r="WSP214" s="181"/>
      <c r="WSQ214" s="181"/>
      <c r="WSR214" s="181"/>
      <c r="WSS214" s="181"/>
      <c r="WST214" s="181"/>
      <c r="WSU214" s="181"/>
      <c r="WSV214" s="181"/>
      <c r="WSW214" s="181"/>
      <c r="WSX214" s="181"/>
      <c r="WSY214" s="181"/>
      <c r="WSZ214" s="181"/>
      <c r="WTA214" s="181"/>
      <c r="WTB214" s="181"/>
      <c r="WTC214" s="181"/>
      <c r="WTD214" s="181"/>
      <c r="WTE214" s="181"/>
      <c r="WTF214" s="181"/>
      <c r="WTG214" s="181"/>
      <c r="WTH214" s="181"/>
      <c r="WTI214" s="181"/>
      <c r="WTJ214" s="181"/>
      <c r="WTK214" s="181"/>
      <c r="WTL214" s="181"/>
      <c r="WTM214" s="181"/>
      <c r="WTN214" s="181"/>
      <c r="WTO214" s="181"/>
      <c r="WTP214" s="181"/>
      <c r="WTQ214" s="181"/>
      <c r="WTR214" s="181"/>
      <c r="WTS214" s="181"/>
      <c r="WTT214" s="181"/>
      <c r="WTU214" s="181"/>
      <c r="WTV214" s="181"/>
      <c r="WTW214" s="181"/>
      <c r="WTX214" s="181"/>
      <c r="WTY214" s="181"/>
      <c r="WTZ214" s="181"/>
      <c r="WUA214" s="181"/>
      <c r="WUB214" s="181"/>
      <c r="WUC214" s="181"/>
      <c r="WUD214" s="181"/>
      <c r="WUE214" s="181"/>
      <c r="WUF214" s="181"/>
      <c r="WUG214" s="181"/>
      <c r="WUH214" s="181"/>
      <c r="WUI214" s="181"/>
      <c r="WUJ214" s="181"/>
      <c r="WUK214" s="181"/>
      <c r="WUL214" s="181"/>
      <c r="WUM214" s="181"/>
      <c r="WUN214" s="181"/>
      <c r="WUO214" s="181"/>
      <c r="WUP214" s="181"/>
      <c r="WUQ214" s="181"/>
      <c r="WUR214" s="181"/>
      <c r="WUS214" s="181"/>
      <c r="WUT214" s="181"/>
      <c r="WUU214" s="181"/>
      <c r="WUV214" s="181"/>
      <c r="WUW214" s="181"/>
      <c r="WUX214" s="181"/>
      <c r="WUY214" s="181"/>
      <c r="WUZ214" s="181"/>
      <c r="WVA214" s="181"/>
      <c r="WVB214" s="181"/>
      <c r="WVC214" s="181"/>
      <c r="WVD214" s="181"/>
      <c r="WVE214" s="181"/>
      <c r="WVF214" s="181"/>
      <c r="WVG214" s="181"/>
      <c r="WVH214" s="181"/>
      <c r="WVI214" s="181"/>
      <c r="WVJ214" s="181"/>
      <c r="WVK214" s="181"/>
      <c r="WVL214" s="181"/>
      <c r="WVM214" s="181"/>
      <c r="WVN214" s="181"/>
      <c r="WVO214" s="181"/>
      <c r="WVP214" s="181"/>
      <c r="WVQ214" s="181"/>
      <c r="WVR214" s="181"/>
      <c r="WVS214" s="181"/>
      <c r="WVT214" s="181"/>
      <c r="WVU214" s="181"/>
      <c r="WVV214" s="181"/>
      <c r="WVW214" s="181"/>
      <c r="WVX214" s="181"/>
      <c r="WVY214" s="181"/>
      <c r="WVZ214" s="181"/>
      <c r="WWA214" s="181"/>
      <c r="WWB214" s="181"/>
      <c r="WWC214" s="181"/>
      <c r="WWD214" s="181"/>
      <c r="WWE214" s="181"/>
      <c r="WWF214" s="181"/>
      <c r="WWG214" s="181"/>
      <c r="WWH214" s="181"/>
      <c r="WWI214" s="181"/>
      <c r="WWJ214" s="181"/>
      <c r="WWK214" s="181"/>
      <c r="WWL214" s="181"/>
      <c r="WWM214" s="181"/>
      <c r="WWN214" s="181"/>
      <c r="WWO214" s="181"/>
      <c r="WWP214" s="181"/>
      <c r="WWQ214" s="181"/>
      <c r="WWR214" s="181"/>
      <c r="WWS214" s="181"/>
      <c r="WWT214" s="181"/>
      <c r="WWU214" s="181"/>
      <c r="WWV214" s="181"/>
      <c r="WWW214" s="181"/>
      <c r="WWX214" s="181"/>
      <c r="WWY214" s="181"/>
      <c r="WWZ214" s="181"/>
      <c r="WXA214" s="181"/>
      <c r="WXB214" s="181"/>
      <c r="WXC214" s="181"/>
      <c r="WXD214" s="181"/>
      <c r="WXE214" s="181"/>
      <c r="WXF214" s="181"/>
      <c r="WXG214" s="181"/>
      <c r="WXH214" s="181"/>
      <c r="WXI214" s="181"/>
      <c r="WXJ214" s="181"/>
      <c r="WXK214" s="181"/>
      <c r="WXL214" s="181"/>
      <c r="WXM214" s="181"/>
      <c r="WXN214" s="181"/>
      <c r="WXO214" s="181"/>
      <c r="WXP214" s="181"/>
      <c r="WXQ214" s="181"/>
      <c r="WXR214" s="181"/>
      <c r="WXS214" s="181"/>
      <c r="WXT214" s="181"/>
      <c r="WXU214" s="181"/>
      <c r="WXV214" s="181"/>
      <c r="WXW214" s="181"/>
      <c r="WXX214" s="181"/>
      <c r="WXY214" s="181"/>
      <c r="WXZ214" s="181"/>
      <c r="WYA214" s="181"/>
      <c r="WYB214" s="181"/>
      <c r="WYC214" s="181"/>
      <c r="WYD214" s="181"/>
      <c r="WYE214" s="181"/>
      <c r="WYF214" s="181"/>
      <c r="WYG214" s="181"/>
      <c r="WYH214" s="181"/>
      <c r="WYI214" s="181"/>
      <c r="WYJ214" s="181"/>
      <c r="WYK214" s="181"/>
      <c r="WYL214" s="181"/>
      <c r="WYM214" s="181"/>
      <c r="WYN214" s="181"/>
      <c r="WYO214" s="181"/>
      <c r="WYP214" s="181"/>
      <c r="WYQ214" s="181"/>
      <c r="WYR214" s="181"/>
      <c r="WYS214" s="181"/>
      <c r="WYT214" s="181"/>
      <c r="WYU214" s="181"/>
      <c r="WYV214" s="181"/>
      <c r="WYW214" s="181"/>
      <c r="WYX214" s="181"/>
      <c r="WYY214" s="181"/>
      <c r="WYZ214" s="181"/>
      <c r="WZA214" s="181"/>
      <c r="WZB214" s="181"/>
      <c r="WZC214" s="181"/>
      <c r="WZD214" s="181"/>
      <c r="WZE214" s="181"/>
      <c r="WZF214" s="181"/>
      <c r="WZG214" s="181"/>
      <c r="WZH214" s="181"/>
      <c r="WZI214" s="181"/>
      <c r="WZJ214" s="181"/>
      <c r="WZK214" s="181"/>
      <c r="WZL214" s="181"/>
      <c r="WZM214" s="181"/>
      <c r="WZN214" s="181"/>
      <c r="WZO214" s="181"/>
      <c r="WZP214" s="181"/>
      <c r="WZQ214" s="181"/>
      <c r="WZR214" s="181"/>
      <c r="WZS214" s="181"/>
      <c r="WZT214" s="181"/>
      <c r="WZU214" s="181"/>
      <c r="WZV214" s="181"/>
      <c r="WZW214" s="181"/>
      <c r="WZX214" s="181"/>
      <c r="WZY214" s="181"/>
      <c r="WZZ214" s="181"/>
      <c r="XAA214" s="181"/>
      <c r="XAB214" s="181"/>
      <c r="XAC214" s="181"/>
      <c r="XAD214" s="181"/>
      <c r="XAE214" s="181"/>
      <c r="XAF214" s="181"/>
      <c r="XAG214" s="181"/>
      <c r="XAH214" s="181"/>
      <c r="XAI214" s="181"/>
      <c r="XAJ214" s="181"/>
      <c r="XAK214" s="181"/>
      <c r="XAL214" s="181"/>
      <c r="XAM214" s="181"/>
      <c r="XAN214" s="181"/>
      <c r="XAO214" s="181"/>
      <c r="XAP214" s="181"/>
      <c r="XAQ214" s="181"/>
      <c r="XAR214" s="181"/>
      <c r="XAS214" s="181"/>
      <c r="XAT214" s="181"/>
      <c r="XAU214" s="181"/>
      <c r="XAV214" s="181"/>
      <c r="XAW214" s="181"/>
      <c r="XAX214" s="181"/>
      <c r="XAY214" s="181"/>
      <c r="XAZ214" s="181"/>
      <c r="XBA214" s="181"/>
      <c r="XBB214" s="181"/>
      <c r="XBC214" s="181"/>
      <c r="XBD214" s="181"/>
      <c r="XBE214" s="181"/>
      <c r="XBF214" s="181"/>
      <c r="XBG214" s="181"/>
      <c r="XBH214" s="181"/>
      <c r="XBI214" s="181"/>
      <c r="XBJ214" s="181"/>
      <c r="XBK214" s="181"/>
      <c r="XBL214" s="181"/>
      <c r="XBM214" s="181"/>
      <c r="XBN214" s="181"/>
      <c r="XBO214" s="181"/>
      <c r="XBP214" s="181"/>
      <c r="XBQ214" s="181"/>
      <c r="XBR214" s="181"/>
      <c r="XBS214" s="181"/>
      <c r="XBT214" s="181"/>
      <c r="XBU214" s="181"/>
      <c r="XBV214" s="181"/>
      <c r="XBW214" s="181"/>
      <c r="XBX214" s="181"/>
      <c r="XBY214" s="181"/>
      <c r="XBZ214" s="181"/>
      <c r="XCA214" s="181"/>
      <c r="XCB214" s="181"/>
      <c r="XCC214" s="181"/>
      <c r="XCD214" s="181"/>
      <c r="XCE214" s="181"/>
      <c r="XCF214" s="181"/>
      <c r="XCG214" s="181"/>
      <c r="XCH214" s="181"/>
      <c r="XCI214" s="181"/>
      <c r="XCJ214" s="181"/>
      <c r="XCK214" s="181"/>
      <c r="XCL214" s="181"/>
      <c r="XCM214" s="181"/>
      <c r="XCN214" s="181"/>
      <c r="XCO214" s="181"/>
      <c r="XCP214" s="181"/>
      <c r="XCQ214" s="181"/>
      <c r="XCR214" s="181"/>
      <c r="XCS214" s="181"/>
      <c r="XCT214" s="181"/>
      <c r="XCU214" s="181"/>
      <c r="XCV214" s="181"/>
      <c r="XCW214" s="181"/>
      <c r="XCX214" s="181"/>
      <c r="XCY214" s="181"/>
      <c r="XCZ214" s="181"/>
      <c r="XDA214" s="181"/>
      <c r="XDB214" s="181"/>
      <c r="XDC214" s="181"/>
      <c r="XDD214" s="181"/>
      <c r="XDE214" s="181"/>
      <c r="XDF214" s="181"/>
      <c r="XDG214" s="181"/>
      <c r="XDH214" s="181"/>
      <c r="XDI214" s="181"/>
      <c r="XDJ214" s="181"/>
      <c r="XDK214" s="181"/>
      <c r="XDL214" s="181"/>
      <c r="XDM214" s="181"/>
      <c r="XDN214" s="181"/>
      <c r="XDO214" s="181"/>
      <c r="XDP214" s="181"/>
      <c r="XDQ214" s="181"/>
      <c r="XDR214" s="181"/>
      <c r="XDS214" s="181"/>
      <c r="XDT214" s="181"/>
      <c r="XDU214" s="181"/>
      <c r="XDV214" s="181"/>
      <c r="XDW214" s="181"/>
      <c r="XDX214" s="181"/>
      <c r="XDY214" s="181"/>
      <c r="XDZ214" s="181"/>
      <c r="XEA214" s="181"/>
      <c r="XEB214" s="181"/>
      <c r="XEC214" s="181"/>
      <c r="XED214" s="181"/>
      <c r="XEE214" s="181"/>
      <c r="XEF214" s="181"/>
      <c r="XEG214" s="181"/>
      <c r="XEH214" s="181"/>
      <c r="XEI214" s="181"/>
      <c r="XEJ214" s="181"/>
      <c r="XEK214" s="181"/>
      <c r="XEL214" s="181"/>
      <c r="XEM214" s="181"/>
      <c r="XEN214" s="181"/>
      <c r="XEO214" s="181"/>
      <c r="XEP214" s="181"/>
      <c r="XEQ214" s="181"/>
      <c r="XER214" s="181"/>
      <c r="XES214" s="181"/>
      <c r="XET214" s="181"/>
      <c r="XEU214" s="181"/>
      <c r="XEV214" s="181"/>
      <c r="XEW214" s="181"/>
      <c r="XEX214" s="181"/>
      <c r="XEY214" s="181"/>
      <c r="XEZ214" s="181"/>
      <c r="XFA214" s="181"/>
    </row>
    <row r="215" spans="1:16381" s="7" customFormat="1" ht="21" customHeight="1" x14ac:dyDescent="0.25">
      <c r="A215" s="412"/>
      <c r="B215" s="1"/>
      <c r="C215" s="7" t="str">
        <f>+'RVK SVÆDI'!C192</f>
        <v>Úlfarsárdalur - núverandi hverfi (þ.m.t aukaíbúðir)</v>
      </c>
      <c r="D215" s="8">
        <v>1</v>
      </c>
      <c r="E215" s="6" t="str">
        <f>+'RVK SVÆDI'!E192</f>
        <v>Úlfarsárdalur</v>
      </c>
      <c r="F215" s="6" t="str">
        <f>+'RVK SVÆDI'!F192</f>
        <v>Dalskóli</v>
      </c>
      <c r="G215" s="375">
        <v>98</v>
      </c>
      <c r="H215" s="375">
        <v>50</v>
      </c>
      <c r="I215" s="375">
        <v>28</v>
      </c>
      <c r="J215" s="6">
        <f t="shared" si="89"/>
        <v>20</v>
      </c>
      <c r="K215" s="6"/>
      <c r="L215" s="112">
        <v>4</v>
      </c>
      <c r="M215" s="6">
        <f t="shared" si="97"/>
        <v>48</v>
      </c>
      <c r="N215" s="112">
        <v>-30</v>
      </c>
      <c r="O215" s="112">
        <v>12</v>
      </c>
      <c r="P215" s="6">
        <f t="shared" si="131"/>
        <v>0</v>
      </c>
      <c r="Q215" s="113">
        <f t="shared" si="132"/>
        <v>0.125</v>
      </c>
      <c r="R215" s="113">
        <f t="shared" si="132"/>
        <v>0.375</v>
      </c>
      <c r="S215" s="113">
        <f t="shared" si="132"/>
        <v>0.625</v>
      </c>
      <c r="T215" s="113">
        <f t="shared" si="132"/>
        <v>0.875</v>
      </c>
      <c r="U215" s="113">
        <f t="shared" si="132"/>
        <v>1</v>
      </c>
      <c r="V215" s="114"/>
      <c r="W215" s="114"/>
      <c r="X215" s="377">
        <f t="shared" si="126"/>
        <v>30</v>
      </c>
      <c r="Y215" s="377">
        <f t="shared" si="127"/>
        <v>12</v>
      </c>
      <c r="Z215" s="377">
        <f t="shared" si="128"/>
        <v>6</v>
      </c>
      <c r="AA215" s="6"/>
    </row>
    <row r="216" spans="1:16381" s="7" customFormat="1" ht="21" customHeight="1" x14ac:dyDescent="0.25">
      <c r="A216" s="412"/>
      <c r="B216" s="1"/>
      <c r="C216" s="7" t="str">
        <f>+'RVK SVÆDI'!C193</f>
        <v>Úlfarsárdalur - Leirtjörn</v>
      </c>
      <c r="D216" s="8">
        <v>1</v>
      </c>
      <c r="E216" s="6" t="str">
        <f>+'RVK SVÆDI'!E193</f>
        <v>Úlfarsárdalur</v>
      </c>
      <c r="F216" s="6" t="str">
        <f>+'RVK SVÆDI'!F193</f>
        <v>Dalskóli</v>
      </c>
      <c r="G216" s="112">
        <v>360</v>
      </c>
      <c r="H216" s="375">
        <v>133</v>
      </c>
      <c r="I216" s="375">
        <v>227</v>
      </c>
      <c r="J216" s="382">
        <f t="shared" si="89"/>
        <v>0</v>
      </c>
      <c r="K216" s="6"/>
      <c r="L216" s="110" t="s">
        <v>306</v>
      </c>
      <c r="M216" s="111"/>
      <c r="N216" s="111"/>
      <c r="O216" s="111"/>
      <c r="P216" s="111"/>
      <c r="Q216" s="111"/>
      <c r="R216" s="111"/>
      <c r="S216" s="111"/>
      <c r="T216" s="111"/>
      <c r="U216" s="111"/>
      <c r="V216" s="114"/>
      <c r="W216" s="114"/>
      <c r="X216" s="375">
        <v>140</v>
      </c>
      <c r="Y216" s="375">
        <v>140</v>
      </c>
      <c r="Z216" s="375">
        <v>0</v>
      </c>
      <c r="AA216" s="6"/>
    </row>
    <row r="217" spans="1:16381" s="7" customFormat="1" ht="21" customHeight="1" x14ac:dyDescent="0.25">
      <c r="A217" s="365"/>
      <c r="B217" s="1"/>
      <c r="C217" s="7" t="str">
        <f>+'RVK SVÆDI'!C194</f>
        <v>Úlfarsárdalur - Leirtjörn þróun</v>
      </c>
      <c r="D217" s="8">
        <v>3</v>
      </c>
      <c r="E217" s="6" t="str">
        <f>+'RVK SVÆDI'!E194</f>
        <v>Úlfarsárdalur</v>
      </c>
      <c r="F217" s="6" t="str">
        <f>+'RVK SVÆDI'!F194</f>
        <v>Dalskóli</v>
      </c>
      <c r="G217" s="112">
        <v>240</v>
      </c>
      <c r="H217" s="112">
        <v>0</v>
      </c>
      <c r="I217" s="112">
        <v>0</v>
      </c>
      <c r="J217" s="6">
        <f t="shared" ref="J217" si="133">+IF(D217=1,(G217-H217-I217),IF(D217=2,(G217-H217-I217),0))</f>
        <v>0</v>
      </c>
      <c r="K217" s="6"/>
      <c r="L217" s="112">
        <v>2</v>
      </c>
      <c r="M217" s="6">
        <f t="shared" ref="M217" si="134">+L217*12</f>
        <v>24</v>
      </c>
      <c r="N217" s="112">
        <v>24</v>
      </c>
      <c r="O217" s="112">
        <v>14</v>
      </c>
      <c r="P217" s="6">
        <f t="shared" ref="P217" si="135">+N217+O217+18</f>
        <v>56</v>
      </c>
      <c r="Q217" s="113">
        <f t="shared" si="132"/>
        <v>0</v>
      </c>
      <c r="R217" s="113">
        <f t="shared" si="132"/>
        <v>0</v>
      </c>
      <c r="S217" s="113">
        <f t="shared" si="132"/>
        <v>0</v>
      </c>
      <c r="T217" s="113">
        <f t="shared" si="132"/>
        <v>0</v>
      </c>
      <c r="U217" s="113">
        <f t="shared" si="132"/>
        <v>0</v>
      </c>
      <c r="V217" s="114"/>
      <c r="W217" s="114"/>
      <c r="X217" s="114">
        <f t="shared" ref="X217" si="136">S217*($G217-$H217)-SUM(V217:W217)</f>
        <v>0</v>
      </c>
      <c r="Y217" s="114">
        <f t="shared" ref="Y217" si="137">T217*($G217-$H217)-SUM(V217:X217)</f>
        <v>0</v>
      </c>
      <c r="Z217" s="114">
        <f t="shared" ref="Z217" si="138">U217*($G217-$H217)-SUM(V217:Y217)</f>
        <v>0</v>
      </c>
      <c r="AA217" s="6"/>
    </row>
    <row r="218" spans="1:16381" s="7" customFormat="1" ht="21" customHeight="1" x14ac:dyDescent="0.25">
      <c r="A218" s="412"/>
      <c r="B218" s="1"/>
      <c r="C218" s="365" t="str">
        <f>+'RVK SVÆDI'!C195</f>
        <v>Úlfarsárdalur-austurreitir</v>
      </c>
      <c r="D218" s="8">
        <v>5</v>
      </c>
      <c r="E218" s="6" t="str">
        <f>+'RVK SVÆDI'!E195</f>
        <v>Úlfarsárdalur</v>
      </c>
      <c r="F218" s="6" t="str">
        <f>+'RVK SVÆDI'!F195</f>
        <v>Dalskóli</v>
      </c>
      <c r="G218" s="112">
        <v>200</v>
      </c>
      <c r="H218" s="112">
        <v>0</v>
      </c>
      <c r="I218" s="112">
        <v>0</v>
      </c>
      <c r="J218" s="6">
        <f t="shared" si="89"/>
        <v>0</v>
      </c>
      <c r="K218" s="6"/>
      <c r="L218" s="112">
        <v>4</v>
      </c>
      <c r="M218" s="6">
        <f t="shared" si="97"/>
        <v>48</v>
      </c>
      <c r="N218" s="112">
        <v>120</v>
      </c>
      <c r="O218" s="112">
        <v>12</v>
      </c>
      <c r="P218" s="6">
        <f t="shared" si="131"/>
        <v>150</v>
      </c>
      <c r="Q218" s="113">
        <f t="shared" ref="Q218:U219" si="139">IFERROR(IF(AND((Q$238-$P218)/$M218&gt;0,(Q$238-$P218)/$M218&lt;1),(Q$238-$P218)/$M218,IF((Q$238-$P218)/$M218&gt;0,1,0)),0)</f>
        <v>0</v>
      </c>
      <c r="R218" s="113">
        <f t="shared" si="139"/>
        <v>0</v>
      </c>
      <c r="S218" s="113">
        <f t="shared" si="139"/>
        <v>0</v>
      </c>
      <c r="T218" s="113">
        <f t="shared" si="139"/>
        <v>0</v>
      </c>
      <c r="U218" s="113">
        <f t="shared" si="139"/>
        <v>0</v>
      </c>
      <c r="V218" s="114"/>
      <c r="W218" s="114"/>
      <c r="X218" s="114">
        <f t="shared" si="126"/>
        <v>0</v>
      </c>
      <c r="Y218" s="114">
        <f t="shared" si="127"/>
        <v>0</v>
      </c>
      <c r="Z218" s="114">
        <f t="shared" si="128"/>
        <v>0</v>
      </c>
      <c r="AA218" s="6"/>
    </row>
    <row r="219" spans="1:16381" s="7" customFormat="1" ht="21" customHeight="1" x14ac:dyDescent="0.25">
      <c r="A219" s="412"/>
      <c r="B219" s="1"/>
      <c r="C219" s="365" t="str">
        <f>+'RVK SVÆDI'!C196</f>
        <v>Úlfarsárdalur-Hamrahlíðarlönd</v>
      </c>
      <c r="D219" s="8">
        <v>5</v>
      </c>
      <c r="E219" s="6" t="str">
        <f>+'RVK SVÆDI'!E196</f>
        <v>Úlfarsárdalur</v>
      </c>
      <c r="F219" s="6" t="str">
        <f>+'RVK SVÆDI'!F196</f>
        <v>Dalskóli</v>
      </c>
      <c r="G219" s="112">
        <v>0</v>
      </c>
      <c r="H219" s="112">
        <v>0</v>
      </c>
      <c r="I219" s="112">
        <v>0</v>
      </c>
      <c r="J219" s="6">
        <f t="shared" ref="J219" si="140">+IF(D219=1,(G219-H219-I219),IF(D219=2,(G219-H219-I219),0))</f>
        <v>0</v>
      </c>
      <c r="K219" s="6"/>
      <c r="L219" s="112">
        <v>4</v>
      </c>
      <c r="M219" s="6">
        <f t="shared" ref="M219" si="141">+L219*12</f>
        <v>48</v>
      </c>
      <c r="N219" s="112">
        <v>120</v>
      </c>
      <c r="O219" s="112">
        <v>12</v>
      </c>
      <c r="P219" s="6">
        <f t="shared" si="131"/>
        <v>150</v>
      </c>
      <c r="Q219" s="113">
        <f t="shared" si="139"/>
        <v>0</v>
      </c>
      <c r="R219" s="113">
        <f t="shared" si="139"/>
        <v>0</v>
      </c>
      <c r="S219" s="113">
        <f t="shared" si="139"/>
        <v>0</v>
      </c>
      <c r="T219" s="113">
        <f t="shared" si="139"/>
        <v>0</v>
      </c>
      <c r="U219" s="113">
        <f t="shared" si="139"/>
        <v>0</v>
      </c>
      <c r="V219" s="114"/>
      <c r="W219" s="114"/>
      <c r="X219" s="114">
        <f t="shared" ref="X219" si="142">S219*($G219-$H219)-SUM(V219:W219)</f>
        <v>0</v>
      </c>
      <c r="Y219" s="114">
        <f t="shared" ref="Y219" si="143">T219*($G219-$H219)-SUM(V219:X219)</f>
        <v>0</v>
      </c>
      <c r="Z219" s="114">
        <f t="shared" si="128"/>
        <v>0</v>
      </c>
      <c r="AA219" s="6"/>
    </row>
    <row r="220" spans="1:16381" s="181" customFormat="1" ht="21" customHeight="1" x14ac:dyDescent="0.25">
      <c r="A220" s="412"/>
      <c r="B220" s="1"/>
      <c r="C220" s="174" t="str">
        <f>+'RVK SVÆDI'!C197</f>
        <v>Krókháls</v>
      </c>
      <c r="D220" s="175">
        <v>2</v>
      </c>
      <c r="E220" s="129" t="str">
        <f>+'RVK SVÆDI'!E197</f>
        <v>Úlfarsárdalur</v>
      </c>
      <c r="F220" s="129">
        <f>+'RVK SVÆDI'!F197</f>
        <v>0</v>
      </c>
      <c r="G220" s="176"/>
      <c r="H220" s="176"/>
      <c r="I220" s="176"/>
      <c r="J220" s="177"/>
      <c r="K220" s="129"/>
      <c r="L220" s="178"/>
      <c r="M220" s="129"/>
      <c r="N220" s="178"/>
      <c r="O220" s="178"/>
      <c r="P220" s="129"/>
      <c r="Q220" s="179"/>
      <c r="R220" s="179"/>
      <c r="S220" s="179"/>
      <c r="T220" s="179"/>
      <c r="U220" s="179"/>
      <c r="V220" s="114"/>
      <c r="W220" s="114"/>
      <c r="X220" s="180"/>
      <c r="Y220" s="180"/>
      <c r="Z220" s="180"/>
      <c r="AA220" s="6"/>
      <c r="AB220" s="7"/>
      <c r="AC220" s="7"/>
    </row>
    <row r="221" spans="1:16381" s="181" customFormat="1" ht="21" customHeight="1" x14ac:dyDescent="0.25">
      <c r="A221" s="412"/>
      <c r="B221" s="1"/>
      <c r="C221" s="174" t="str">
        <f>+'RVK SVÆDI'!C198</f>
        <v>Hádegismóar M17</v>
      </c>
      <c r="D221" s="175">
        <v>2</v>
      </c>
      <c r="E221" s="129" t="str">
        <f>+'RVK SVÆDI'!E198</f>
        <v>Úlfarsárdalur</v>
      </c>
      <c r="F221" s="129">
        <f>+'RVK SVÆDI'!F198</f>
        <v>0</v>
      </c>
      <c r="G221" s="176"/>
      <c r="H221" s="176"/>
      <c r="I221" s="176"/>
      <c r="J221" s="177"/>
      <c r="K221" s="129"/>
      <c r="L221" s="178"/>
      <c r="M221" s="129"/>
      <c r="N221" s="178"/>
      <c r="O221" s="178"/>
      <c r="P221" s="129"/>
      <c r="Q221" s="179"/>
      <c r="R221" s="179"/>
      <c r="S221" s="179"/>
      <c r="T221" s="179"/>
      <c r="U221" s="179"/>
      <c r="V221" s="114"/>
      <c r="W221" s="114"/>
      <c r="X221" s="180"/>
      <c r="Y221" s="180"/>
      <c r="Z221" s="180"/>
      <c r="AA221" s="129"/>
    </row>
    <row r="222" spans="1:16381" s="181" customFormat="1" ht="21" customHeight="1" x14ac:dyDescent="0.25">
      <c r="A222" s="412"/>
      <c r="B222" s="1"/>
      <c r="C222" s="174" t="str">
        <f>+'RVK SVÆDI'!C199</f>
        <v>Hólmsheiði</v>
      </c>
      <c r="D222" s="175">
        <v>2</v>
      </c>
      <c r="E222" s="129" t="str">
        <f>+'RVK SVÆDI'!E199</f>
        <v>Úlfarsárdalur</v>
      </c>
      <c r="F222" s="129">
        <f>+'RVK SVÆDI'!F199</f>
        <v>0</v>
      </c>
      <c r="G222" s="176"/>
      <c r="H222" s="176"/>
      <c r="I222" s="176"/>
      <c r="J222" s="177"/>
      <c r="K222" s="129"/>
      <c r="L222" s="178"/>
      <c r="M222" s="129"/>
      <c r="N222" s="178"/>
      <c r="O222" s="178"/>
      <c r="P222" s="129"/>
      <c r="Q222" s="179"/>
      <c r="R222" s="179"/>
      <c r="S222" s="179"/>
      <c r="T222" s="179"/>
      <c r="U222" s="179"/>
      <c r="V222" s="114"/>
      <c r="W222" s="114"/>
      <c r="X222" s="180"/>
      <c r="Y222" s="180"/>
      <c r="Z222" s="180"/>
      <c r="AA222" s="129"/>
    </row>
    <row r="223" spans="1:16381" s="181" customFormat="1" ht="21" customHeight="1" x14ac:dyDescent="0.25">
      <c r="A223" s="416"/>
      <c r="B223" s="1"/>
      <c r="C223" s="174" t="str">
        <f>+'RVK SVÆDI'!C200</f>
        <v>Hólmsheiði skipulagi frestað</v>
      </c>
      <c r="D223" s="175">
        <v>3</v>
      </c>
      <c r="E223" s="129" t="str">
        <f>+'RVK SVÆDI'!E200</f>
        <v>Úlfarsárdalur</v>
      </c>
      <c r="F223" s="129">
        <f>+'RVK SVÆDI'!F200</f>
        <v>0</v>
      </c>
      <c r="G223" s="176"/>
      <c r="H223" s="176"/>
      <c r="I223" s="176"/>
      <c r="J223" s="177"/>
      <c r="K223" s="129"/>
      <c r="L223" s="178"/>
      <c r="M223" s="129"/>
      <c r="N223" s="178"/>
      <c r="O223" s="178"/>
      <c r="P223" s="129"/>
      <c r="Q223" s="179"/>
      <c r="R223" s="179"/>
      <c r="S223" s="179"/>
      <c r="T223" s="179"/>
      <c r="U223" s="179"/>
      <c r="V223" s="114"/>
      <c r="W223" s="114"/>
      <c r="X223" s="180"/>
      <c r="Y223" s="180"/>
      <c r="Z223" s="180"/>
      <c r="AA223" s="129"/>
    </row>
    <row r="224" spans="1:16381" s="181" customFormat="1" ht="21" customHeight="1" x14ac:dyDescent="0.25">
      <c r="A224" s="412"/>
      <c r="B224" s="1"/>
      <c r="C224" s="174" t="str">
        <f>+'RVK SVÆDI'!C201</f>
        <v>Hólmsheiði þróun</v>
      </c>
      <c r="D224" s="175">
        <v>5</v>
      </c>
      <c r="E224" s="129" t="str">
        <f>+'RVK SVÆDI'!E201</f>
        <v>Úlfarsárdalur</v>
      </c>
      <c r="F224" s="129">
        <f>+'RVK SVÆDI'!F201</f>
        <v>0</v>
      </c>
      <c r="G224" s="176"/>
      <c r="H224" s="176"/>
      <c r="I224" s="176"/>
      <c r="J224" s="177"/>
      <c r="K224" s="129"/>
      <c r="L224" s="178"/>
      <c r="M224" s="129"/>
      <c r="N224" s="178"/>
      <c r="O224" s="178"/>
      <c r="P224" s="129"/>
      <c r="Q224" s="179"/>
      <c r="R224" s="179"/>
      <c r="S224" s="179"/>
      <c r="T224" s="179"/>
      <c r="U224" s="179"/>
      <c r="V224" s="114"/>
      <c r="W224" s="114"/>
      <c r="X224" s="180"/>
      <c r="Y224" s="180"/>
      <c r="Z224" s="180"/>
      <c r="AA224" s="129"/>
    </row>
    <row r="225" spans="1:27" s="181" customFormat="1" ht="21" customHeight="1" x14ac:dyDescent="0.25">
      <c r="A225" s="412"/>
      <c r="B225" s="1"/>
      <c r="C225" s="174" t="str">
        <f>+'RVK SVÆDI'!C202</f>
        <v>Hallar M9b (Lambhagavegur)</v>
      </c>
      <c r="D225" s="175">
        <v>2</v>
      </c>
      <c r="E225" s="129" t="str">
        <f>+'RVK SVÆDI'!E202</f>
        <v>Úlfarsárdalur</v>
      </c>
      <c r="F225" s="129">
        <f>+'RVK SVÆDI'!F202</f>
        <v>0</v>
      </c>
      <c r="G225" s="176"/>
      <c r="H225" s="176"/>
      <c r="I225" s="176"/>
      <c r="J225" s="177"/>
      <c r="K225" s="129"/>
      <c r="L225" s="178"/>
      <c r="M225" s="129"/>
      <c r="N225" s="178"/>
      <c r="O225" s="178"/>
      <c r="P225" s="129"/>
      <c r="Q225" s="179"/>
      <c r="R225" s="179"/>
      <c r="S225" s="179"/>
      <c r="T225" s="179"/>
      <c r="U225" s="179"/>
      <c r="V225" s="114"/>
      <c r="W225" s="114"/>
      <c r="X225" s="180"/>
      <c r="Y225" s="180"/>
      <c r="Z225" s="180"/>
      <c r="AA225" s="129"/>
    </row>
    <row r="226" spans="1:27" s="181" customFormat="1" ht="21" customHeight="1" x14ac:dyDescent="0.25">
      <c r="A226" s="412"/>
      <c r="B226" s="1"/>
      <c r="C226" s="174" t="str">
        <f>+'RVK SVÆDI'!C203</f>
        <v>Hamrahlíðalönd M22</v>
      </c>
      <c r="D226" s="175">
        <v>4</v>
      </c>
      <c r="E226" s="129" t="str">
        <f>+'RVK SVÆDI'!E203</f>
        <v>Úlfarsárdalur</v>
      </c>
      <c r="F226" s="129">
        <f>+'RVK SVÆDI'!F203</f>
        <v>0</v>
      </c>
      <c r="G226" s="176"/>
      <c r="H226" s="176"/>
      <c r="I226" s="176"/>
      <c r="J226" s="177"/>
      <c r="K226" s="129"/>
      <c r="L226" s="178"/>
      <c r="M226" s="129"/>
      <c r="N226" s="178"/>
      <c r="O226" s="178"/>
      <c r="P226" s="129"/>
      <c r="Q226" s="179"/>
      <c r="R226" s="179"/>
      <c r="S226" s="179"/>
      <c r="T226" s="179"/>
      <c r="U226" s="179"/>
      <c r="V226" s="114"/>
      <c r="W226" s="114"/>
      <c r="X226" s="180"/>
      <c r="Y226" s="180"/>
      <c r="Z226" s="180"/>
      <c r="AA226" s="129"/>
    </row>
    <row r="227" spans="1:27" s="181" customFormat="1" ht="21" customHeight="1" x14ac:dyDescent="0.25">
      <c r="A227" s="412"/>
      <c r="B227" s="1"/>
      <c r="C227" s="174" t="str">
        <f>+'RVK SVÆDI'!C204</f>
        <v>Korpa M9c (Korputorg o.fl)</v>
      </c>
      <c r="D227" s="175">
        <v>3</v>
      </c>
      <c r="E227" s="129" t="str">
        <f>+'RVK SVÆDI'!E204</f>
        <v>Úlfarsárdalur</v>
      </c>
      <c r="F227" s="129">
        <f>+'RVK SVÆDI'!F204</f>
        <v>0</v>
      </c>
      <c r="G227" s="176"/>
      <c r="H227" s="176"/>
      <c r="I227" s="176"/>
      <c r="J227" s="177"/>
      <c r="K227" s="129"/>
      <c r="L227" s="178"/>
      <c r="M227" s="129"/>
      <c r="N227" s="178"/>
      <c r="O227" s="178"/>
      <c r="P227" s="129"/>
      <c r="Q227" s="179"/>
      <c r="R227" s="179"/>
      <c r="S227" s="179"/>
      <c r="T227" s="179"/>
      <c r="U227" s="179"/>
      <c r="V227" s="114"/>
      <c r="W227" s="114"/>
      <c r="X227" s="180"/>
      <c r="Y227" s="180"/>
      <c r="Z227" s="180"/>
      <c r="AA227" s="129"/>
    </row>
    <row r="228" spans="1:27" s="7" customFormat="1" ht="21" customHeight="1" x14ac:dyDescent="0.25">
      <c r="A228" s="412"/>
      <c r="B228" s="1"/>
      <c r="C228" s="7" t="str">
        <f>+'RVK SVÆDI'!C205</f>
        <v>Kjalarnes - Grundarhverfi</v>
      </c>
      <c r="D228" s="8">
        <v>2</v>
      </c>
      <c r="E228" s="6" t="str">
        <f>+'RVK SVÆDI'!E205</f>
        <v>Kjalarnes</v>
      </c>
      <c r="F228" s="6" t="str">
        <f>+'RVK SVÆDI'!F205</f>
        <v>Klébergsskóli</v>
      </c>
      <c r="G228" s="112">
        <v>23</v>
      </c>
      <c r="H228" s="112">
        <v>0</v>
      </c>
      <c r="I228" s="112">
        <v>0</v>
      </c>
      <c r="J228" s="6">
        <f t="shared" ref="J228:J229" si="144">+IF(D228=1,(G228-H228-I228),IF(D228=2,(G228-H228-I228),0))</f>
        <v>23</v>
      </c>
      <c r="K228" s="6"/>
      <c r="L228" s="110" t="s">
        <v>306</v>
      </c>
      <c r="M228" s="111"/>
      <c r="N228" s="111"/>
      <c r="O228" s="111"/>
      <c r="P228" s="111"/>
      <c r="Q228" s="111"/>
      <c r="R228" s="111"/>
      <c r="S228" s="111"/>
      <c r="T228" s="111"/>
      <c r="U228" s="111"/>
      <c r="V228" s="114"/>
      <c r="W228" s="114"/>
      <c r="X228" s="112">
        <v>2</v>
      </c>
      <c r="Y228" s="112">
        <v>2</v>
      </c>
      <c r="Z228" s="112">
        <v>2</v>
      </c>
      <c r="AA228" s="6"/>
    </row>
    <row r="229" spans="1:27" s="7" customFormat="1" ht="21" customHeight="1" x14ac:dyDescent="0.25">
      <c r="A229" s="412"/>
      <c r="B229" s="1"/>
      <c r="C229" s="7" t="str">
        <f>+'RVK SVÆDI'!C206</f>
        <v>Kjalarnes - Grundarhverfi DSK í vinnslu</v>
      </c>
      <c r="D229" s="374">
        <v>3</v>
      </c>
      <c r="E229" s="6" t="str">
        <f>+'RVK SVÆDI'!E206</f>
        <v>Kjalarnes</v>
      </c>
      <c r="F229" s="6" t="str">
        <f>+'RVK SVÆDI'!F206</f>
        <v>Klébergsskóli</v>
      </c>
      <c r="G229" s="112">
        <v>100</v>
      </c>
      <c r="H229" s="112">
        <v>0</v>
      </c>
      <c r="I229" s="112">
        <v>0</v>
      </c>
      <c r="J229" s="6">
        <f t="shared" si="144"/>
        <v>0</v>
      </c>
      <c r="K229" s="6"/>
      <c r="L229" s="110" t="s">
        <v>306</v>
      </c>
      <c r="M229" s="111"/>
      <c r="N229" s="111"/>
      <c r="O229" s="111"/>
      <c r="P229" s="111"/>
      <c r="Q229" s="111"/>
      <c r="R229" s="111"/>
      <c r="S229" s="111"/>
      <c r="T229" s="111"/>
      <c r="U229" s="111"/>
      <c r="V229" s="114"/>
      <c r="W229" s="114"/>
      <c r="X229" s="112">
        <v>5</v>
      </c>
      <c r="Y229" s="112">
        <v>10</v>
      </c>
      <c r="Z229" s="112">
        <v>10</v>
      </c>
      <c r="AA229" s="6"/>
    </row>
    <row r="230" spans="1:27" s="181" customFormat="1" ht="21" customHeight="1" x14ac:dyDescent="0.25">
      <c r="A230" s="412"/>
      <c r="B230" s="1"/>
      <c r="C230" s="174" t="str">
        <f>+'RVK SVÆDI'!C207</f>
        <v>Esjumelar AT5 vestan Vesturlandsvegar</v>
      </c>
      <c r="D230" s="175">
        <v>5</v>
      </c>
      <c r="E230" s="129" t="str">
        <f>+'RVK SVÆDI'!E207</f>
        <v>Kjalarnes</v>
      </c>
      <c r="F230" s="129">
        <f>+'RVK SVÆDI'!F207</f>
        <v>0</v>
      </c>
      <c r="G230" s="176"/>
      <c r="H230" s="176"/>
      <c r="I230" s="176"/>
      <c r="J230" s="177"/>
      <c r="K230" s="129"/>
      <c r="L230" s="178"/>
      <c r="M230" s="129"/>
      <c r="N230" s="178"/>
      <c r="O230" s="178"/>
      <c r="P230" s="129"/>
      <c r="Q230" s="179"/>
      <c r="R230" s="179"/>
      <c r="S230" s="179"/>
      <c r="T230" s="179"/>
      <c r="U230" s="179"/>
      <c r="V230" s="180"/>
      <c r="W230" s="180"/>
      <c r="X230" s="180"/>
      <c r="Y230" s="180"/>
      <c r="Z230" s="180"/>
      <c r="AA230" s="129"/>
    </row>
    <row r="231" spans="1:27" s="181" customFormat="1" ht="21" customHeight="1" x14ac:dyDescent="0.25">
      <c r="A231" s="412"/>
      <c r="B231" s="1"/>
      <c r="C231" s="174" t="str">
        <f>+'RVK SVÆDI'!C208</f>
        <v>Esjumelar AT5 austan Vesturlandsvegar sv. A</v>
      </c>
      <c r="D231" s="175">
        <v>1</v>
      </c>
      <c r="E231" s="129" t="str">
        <f>+'RVK SVÆDI'!E208</f>
        <v>Kjalarnes</v>
      </c>
      <c r="F231" s="129">
        <f>+'RVK SVÆDI'!F208</f>
        <v>0</v>
      </c>
      <c r="G231" s="176"/>
      <c r="H231" s="176"/>
      <c r="I231" s="176"/>
      <c r="J231" s="177"/>
      <c r="K231" s="129"/>
      <c r="L231" s="178"/>
      <c r="M231" s="129"/>
      <c r="N231" s="178"/>
      <c r="O231" s="178"/>
      <c r="P231" s="129"/>
      <c r="Q231" s="179"/>
      <c r="R231" s="179"/>
      <c r="S231" s="179"/>
      <c r="T231" s="179"/>
      <c r="U231" s="179"/>
      <c r="V231" s="180"/>
      <c r="W231" s="180"/>
      <c r="X231" s="180"/>
      <c r="Y231" s="180"/>
      <c r="Z231" s="180"/>
      <c r="AA231" s="129"/>
    </row>
    <row r="232" spans="1:27" s="181" customFormat="1" ht="21" customHeight="1" x14ac:dyDescent="0.25">
      <c r="A232" s="412"/>
      <c r="B232" s="1"/>
      <c r="C232" s="174" t="str">
        <f>+'RVK SVÆDI'!C209</f>
        <v>Esjumelar AT5 austan Vesturlandsvegar sv. B</v>
      </c>
      <c r="D232" s="175">
        <v>2</v>
      </c>
      <c r="E232" s="129" t="str">
        <f>+'RVK SVÆDI'!E209</f>
        <v>Kjalarnes</v>
      </c>
      <c r="F232" s="129">
        <f>+'RVK SVÆDI'!F209</f>
        <v>0</v>
      </c>
      <c r="G232" s="176"/>
      <c r="H232" s="176"/>
      <c r="I232" s="176"/>
      <c r="J232" s="177"/>
      <c r="K232" s="129"/>
      <c r="L232" s="178"/>
      <c r="M232" s="129"/>
      <c r="N232" s="178"/>
      <c r="O232" s="178"/>
      <c r="P232" s="129"/>
      <c r="Q232" s="179"/>
      <c r="R232" s="179"/>
      <c r="S232" s="179"/>
      <c r="T232" s="179"/>
      <c r="U232" s="179"/>
      <c r="V232" s="180"/>
      <c r="W232" s="180"/>
      <c r="X232" s="180"/>
      <c r="Y232" s="180"/>
      <c r="Z232" s="180"/>
      <c r="AA232" s="129"/>
    </row>
    <row r="233" spans="1:27" s="181" customFormat="1" ht="21" customHeight="1" x14ac:dyDescent="0.25">
      <c r="A233" s="412"/>
      <c r="B233" s="1"/>
      <c r="C233" s="174" t="str">
        <f>+'RVK SVÆDI'!C210</f>
        <v>Álfsnesnesvík, I2, H6</v>
      </c>
      <c r="D233" s="175">
        <v>3</v>
      </c>
      <c r="E233" s="129" t="str">
        <f>+'RVK SVÆDI'!E210</f>
        <v>Kjalarnes</v>
      </c>
      <c r="F233" s="129">
        <f>+'RVK SVÆDI'!F210</f>
        <v>0</v>
      </c>
      <c r="G233" s="176"/>
      <c r="H233" s="176"/>
      <c r="I233" s="176"/>
      <c r="J233" s="177"/>
      <c r="K233" s="129"/>
      <c r="L233" s="178"/>
      <c r="M233" s="129"/>
      <c r="N233" s="178"/>
      <c r="O233" s="178"/>
      <c r="P233" s="129"/>
      <c r="Q233" s="179"/>
      <c r="R233" s="179"/>
      <c r="S233" s="179"/>
      <c r="T233" s="179"/>
      <c r="U233" s="179"/>
      <c r="V233" s="180"/>
      <c r="W233" s="180"/>
      <c r="X233" s="180"/>
      <c r="Y233" s="180"/>
      <c r="Z233" s="180"/>
      <c r="AA233" s="129"/>
    </row>
    <row r="234" spans="1:27" s="181" customFormat="1" ht="21" customHeight="1" x14ac:dyDescent="0.25">
      <c r="A234" s="412"/>
      <c r="B234" s="1"/>
      <c r="C234" s="174" t="str">
        <f>+'RVK SVÆDI'!C211</f>
        <v>Álfsnes norður I2</v>
      </c>
      <c r="D234" s="175">
        <v>4</v>
      </c>
      <c r="E234" s="129" t="str">
        <f>+'RVK SVÆDI'!E211</f>
        <v>Kjalarnes</v>
      </c>
      <c r="F234" s="129">
        <f>+'RVK SVÆDI'!F211</f>
        <v>0</v>
      </c>
      <c r="G234" s="176"/>
      <c r="H234" s="176"/>
      <c r="I234" s="176"/>
      <c r="J234" s="177"/>
      <c r="K234" s="129"/>
      <c r="L234" s="178"/>
      <c r="M234" s="129"/>
      <c r="N234" s="178"/>
      <c r="O234" s="178"/>
      <c r="P234" s="129"/>
      <c r="Q234" s="179"/>
      <c r="R234" s="179"/>
      <c r="S234" s="179"/>
      <c r="T234" s="179"/>
      <c r="U234" s="179"/>
      <c r="V234" s="180"/>
      <c r="W234" s="180"/>
      <c r="X234" s="180"/>
      <c r="Y234" s="180"/>
      <c r="Z234" s="180"/>
      <c r="AA234" s="129"/>
    </row>
    <row r="235" spans="1:27" s="181" customFormat="1" ht="21" customHeight="1" x14ac:dyDescent="0.25">
      <c r="A235" s="412"/>
      <c r="B235" s="1"/>
      <c r="C235" s="174" t="str">
        <f>+'RVK SVÆDI'!C212</f>
        <v>Sorpa I5</v>
      </c>
      <c r="D235" s="175">
        <v>1</v>
      </c>
      <c r="E235" s="129" t="str">
        <f>+'RVK SVÆDI'!E212</f>
        <v>Kjalarnes</v>
      </c>
      <c r="F235" s="129">
        <f>+'RVK SVÆDI'!F212</f>
        <v>0</v>
      </c>
      <c r="G235" s="176"/>
      <c r="H235" s="176"/>
      <c r="I235" s="176"/>
      <c r="J235" s="177"/>
      <c r="K235" s="129"/>
      <c r="L235" s="178"/>
      <c r="M235" s="129"/>
      <c r="N235" s="178"/>
      <c r="O235" s="178"/>
      <c r="P235" s="129"/>
      <c r="Q235" s="179"/>
      <c r="R235" s="179"/>
      <c r="S235" s="179"/>
      <c r="T235" s="179"/>
      <c r="U235" s="179"/>
      <c r="V235" s="180"/>
      <c r="W235" s="180"/>
      <c r="X235" s="180"/>
      <c r="Y235" s="180"/>
      <c r="Z235" s="180"/>
      <c r="AA235" s="129"/>
    </row>
    <row r="236" spans="1:27" s="7" customFormat="1" ht="21" customHeight="1" x14ac:dyDescent="0.25">
      <c r="A236" s="412"/>
      <c r="B236" s="1"/>
      <c r="C236" s="7" t="str">
        <f>+'RVK SVÆDI'!C213</f>
        <v>Bensínstöðvarlóðir dreift um borgina</v>
      </c>
      <c r="D236" s="8">
        <v>5</v>
      </c>
      <c r="E236" s="6" t="str">
        <f>+'RVK SVÆDI'!E213</f>
        <v>Kjalarnes</v>
      </c>
      <c r="F236" s="6">
        <f>+'RVK SVÆDI'!F213</f>
        <v>0</v>
      </c>
      <c r="G236" s="112">
        <v>100</v>
      </c>
      <c r="H236" s="112">
        <v>0</v>
      </c>
      <c r="I236" s="112">
        <v>0</v>
      </c>
      <c r="J236" s="6">
        <f>+IF(D236=1,(G236-H236-I236),IF(D236=2,(G236-H236-I236),0))</f>
        <v>0</v>
      </c>
      <c r="K236" s="6"/>
      <c r="L236" s="112">
        <v>50</v>
      </c>
      <c r="M236" s="6">
        <f t="shared" ref="M236" si="145">+L236*12</f>
        <v>600</v>
      </c>
      <c r="N236" s="112">
        <v>-26</v>
      </c>
      <c r="O236" s="112">
        <v>14</v>
      </c>
      <c r="P236" s="6">
        <f>+N236+O236+18</f>
        <v>6</v>
      </c>
      <c r="Q236" s="113">
        <f>IFERROR(IF(AND((Q$238-$P236)/$M236&gt;0,(Q$238-$P236)/$M236&lt;1),(Q$238-$P236)/$M236,IF((Q$238-$P236)/$M236&gt;0,1,0)),0)</f>
        <v>0</v>
      </c>
      <c r="R236" s="113">
        <f>IFERROR(IF(AND((R$238-$P236)/$M236&gt;0,(R$238-$P236)/$M236&lt;1),(R$238-$P236)/$M236,IF((R$238-$P236)/$M236&gt;0,1,0)),0)</f>
        <v>0.02</v>
      </c>
      <c r="S236" s="113">
        <f>IFERROR(IF(AND((S$238-$P236)/$M236&gt;0,(S$238-$P236)/$M236&lt;1),(S$238-$P236)/$M236,IF((S$238-$P236)/$M236&gt;0,1,0)),0)</f>
        <v>0.04</v>
      </c>
      <c r="T236" s="113">
        <f>IFERROR(IF(AND((T$238-$P236)/$M236&gt;0,(T$238-$P236)/$M236&lt;1),(T$238-$P236)/$M236,IF((T$238-$P236)/$M236&gt;0,1,0)),0)</f>
        <v>0.06</v>
      </c>
      <c r="U236" s="113">
        <f>IFERROR(IF(AND((U$238-$P236)/$M236&gt;0,(U$238-$P236)/$M236&lt;1),(U$238-$P236)/$M236,IF((U$238-$P236)/$M236&gt;0,1,0)),0)</f>
        <v>0.08</v>
      </c>
      <c r="V236" s="114">
        <f>Q236*($G236-$H236)</f>
        <v>0</v>
      </c>
      <c r="W236" s="114">
        <f>R236*($G236-$H236)-V236</f>
        <v>2</v>
      </c>
      <c r="X236" s="114">
        <f>S236*($G236-$H236)-SUM(V236:W236)</f>
        <v>2</v>
      </c>
      <c r="Y236" s="114">
        <f>T236*($G236-$H236)-SUM(V236:X236)</f>
        <v>2</v>
      </c>
      <c r="Z236" s="114">
        <f>U236*($G236-$H236)-SUM(V236:Y236)</f>
        <v>2</v>
      </c>
      <c r="AA236" s="6"/>
    </row>
    <row r="237" spans="1:27" ht="21" customHeight="1" thickBot="1" x14ac:dyDescent="0.3">
      <c r="A237" s="412"/>
    </row>
    <row r="238" spans="1:27" ht="21" customHeight="1" thickBot="1" x14ac:dyDescent="0.3">
      <c r="A238" s="412"/>
      <c r="D238" s="1">
        <v>2</v>
      </c>
      <c r="Q238" s="145">
        <f>6</f>
        <v>6</v>
      </c>
      <c r="R238" s="146">
        <f>12*1+6</f>
        <v>18</v>
      </c>
      <c r="S238" s="146">
        <f>12*2+6</f>
        <v>30</v>
      </c>
      <c r="T238" s="146">
        <f>12*3+6</f>
        <v>42</v>
      </c>
      <c r="U238" s="147">
        <f>12*4+6</f>
        <v>54</v>
      </c>
    </row>
    <row r="239" spans="1:27" ht="21" customHeight="1" x14ac:dyDescent="0.25">
      <c r="A239" s="412"/>
      <c r="D239" s="1">
        <v>2</v>
      </c>
    </row>
    <row r="240" spans="1:27" ht="21" customHeight="1" x14ac:dyDescent="0.25">
      <c r="A240" s="412"/>
      <c r="D240" s="1">
        <v>2</v>
      </c>
    </row>
    <row r="241" spans="1:31" ht="21" customHeight="1" x14ac:dyDescent="0.25">
      <c r="A241" s="412"/>
      <c r="D241" s="1">
        <v>2</v>
      </c>
    </row>
    <row r="242" spans="1:31" ht="21" customHeight="1" x14ac:dyDescent="0.25">
      <c r="A242" s="412"/>
      <c r="D242" s="1">
        <v>1</v>
      </c>
    </row>
    <row r="243" spans="1:31" s="1" customFormat="1" ht="21" customHeight="1" x14ac:dyDescent="0.25">
      <c r="A243" s="412"/>
      <c r="C243" s="367"/>
      <c r="D243" s="1">
        <v>4</v>
      </c>
      <c r="L243" s="14"/>
      <c r="AB243" s="367"/>
      <c r="AC243" s="367"/>
      <c r="AD243" s="367"/>
      <c r="AE243" s="367"/>
    </row>
    <row r="244" spans="1:31" s="1" customFormat="1" ht="21" customHeight="1" x14ac:dyDescent="0.25">
      <c r="A244" s="412"/>
      <c r="C244" s="367"/>
      <c r="D244" s="1">
        <v>2</v>
      </c>
      <c r="L244" s="14"/>
      <c r="AB244" s="367"/>
      <c r="AC244" s="367"/>
      <c r="AD244" s="367"/>
      <c r="AE244" s="367"/>
    </row>
    <row r="245" spans="1:31" s="1" customFormat="1" ht="21" customHeight="1" x14ac:dyDescent="0.25">
      <c r="A245" s="412"/>
      <c r="C245" s="367"/>
      <c r="D245" s="1">
        <v>4</v>
      </c>
      <c r="L245" s="14"/>
      <c r="AB245" s="367"/>
      <c r="AC245" s="367"/>
      <c r="AD245" s="367"/>
      <c r="AE245" s="367"/>
    </row>
    <row r="246" spans="1:31" s="1" customFormat="1" ht="21" customHeight="1" x14ac:dyDescent="0.25">
      <c r="A246" s="412"/>
      <c r="C246" s="367"/>
      <c r="D246" s="1">
        <v>5</v>
      </c>
      <c r="L246" s="14"/>
      <c r="AB246" s="367"/>
      <c r="AC246" s="367"/>
      <c r="AD246" s="367"/>
      <c r="AE246" s="367"/>
    </row>
    <row r="247" spans="1:31" s="1" customFormat="1" ht="21" customHeight="1" x14ac:dyDescent="0.25">
      <c r="A247" s="412"/>
      <c r="C247" s="367"/>
      <c r="D247" s="1">
        <v>1</v>
      </c>
      <c r="L247" s="14"/>
      <c r="AB247" s="367"/>
      <c r="AC247" s="367"/>
      <c r="AD247" s="367"/>
      <c r="AE247" s="367"/>
    </row>
    <row r="248" spans="1:31" s="1" customFormat="1" ht="21" customHeight="1" x14ac:dyDescent="0.25">
      <c r="A248" s="412"/>
      <c r="C248" s="367"/>
      <c r="D248" s="1">
        <v>2</v>
      </c>
      <c r="L248" s="14"/>
      <c r="AB248" s="367"/>
      <c r="AC248" s="367"/>
      <c r="AD248" s="367"/>
      <c r="AE248" s="367"/>
    </row>
    <row r="249" spans="1:31" s="1" customFormat="1" ht="21" customHeight="1" x14ac:dyDescent="0.25">
      <c r="A249" s="412"/>
      <c r="C249" s="367"/>
      <c r="D249" s="1">
        <v>3</v>
      </c>
      <c r="L249" s="14"/>
      <c r="AB249" s="367"/>
      <c r="AC249" s="367"/>
      <c r="AD249" s="367"/>
      <c r="AE249" s="367"/>
    </row>
    <row r="250" spans="1:31" s="1" customFormat="1" ht="21" customHeight="1" x14ac:dyDescent="0.25">
      <c r="A250" s="412"/>
      <c r="C250" s="367"/>
      <c r="D250" s="1">
        <v>4</v>
      </c>
      <c r="L250" s="14"/>
      <c r="AB250" s="367"/>
      <c r="AC250" s="367"/>
      <c r="AD250" s="367"/>
      <c r="AE250" s="367"/>
    </row>
    <row r="251" spans="1:31" s="1" customFormat="1" ht="21" customHeight="1" x14ac:dyDescent="0.25">
      <c r="A251" s="412"/>
      <c r="C251" s="367"/>
      <c r="D251" s="1">
        <v>1</v>
      </c>
      <c r="L251" s="14"/>
      <c r="AB251" s="367"/>
      <c r="AC251" s="367"/>
      <c r="AD251" s="367"/>
      <c r="AE251" s="367"/>
    </row>
    <row r="252" spans="1:31" s="1" customFormat="1" ht="21" customHeight="1" x14ac:dyDescent="0.25">
      <c r="A252" s="412"/>
      <c r="C252" s="367"/>
      <c r="D252" s="1">
        <v>1</v>
      </c>
      <c r="L252" s="14"/>
      <c r="AB252" s="367"/>
      <c r="AC252" s="367"/>
      <c r="AD252" s="367"/>
      <c r="AE252" s="367"/>
    </row>
    <row r="253" spans="1:31" s="1" customFormat="1" ht="21" customHeight="1" x14ac:dyDescent="0.25">
      <c r="A253" s="412"/>
      <c r="C253" s="367"/>
      <c r="D253" s="1">
        <v>4</v>
      </c>
      <c r="L253" s="14"/>
      <c r="AB253" s="367"/>
      <c r="AC253" s="367"/>
      <c r="AD253" s="367"/>
      <c r="AE253" s="367"/>
    </row>
    <row r="254" spans="1:31" s="1" customFormat="1" ht="21" customHeight="1" x14ac:dyDescent="0.25">
      <c r="A254" s="412"/>
      <c r="C254" s="367"/>
      <c r="D254" s="1">
        <v>5</v>
      </c>
      <c r="L254" s="14"/>
      <c r="AB254" s="367"/>
      <c r="AC254" s="367"/>
      <c r="AD254" s="367"/>
      <c r="AE254" s="367"/>
    </row>
    <row r="255" spans="1:31" s="1" customFormat="1" ht="21" customHeight="1" x14ac:dyDescent="0.25">
      <c r="A255" s="412"/>
      <c r="C255" s="367"/>
      <c r="D255" s="1">
        <v>5</v>
      </c>
      <c r="L255" s="14"/>
      <c r="AB255" s="367"/>
      <c r="AC255" s="367"/>
      <c r="AD255" s="367"/>
      <c r="AE255" s="367"/>
    </row>
    <row r="256" spans="1:31" s="1" customFormat="1" ht="21" customHeight="1" x14ac:dyDescent="0.25">
      <c r="A256" s="412"/>
      <c r="C256" s="367"/>
      <c r="D256" s="1">
        <v>3</v>
      </c>
      <c r="L256" s="14"/>
      <c r="AB256" s="367"/>
      <c r="AC256" s="367"/>
      <c r="AD256" s="367"/>
      <c r="AE256" s="367"/>
    </row>
    <row r="257" spans="1:31" s="1" customFormat="1" ht="21" customHeight="1" x14ac:dyDescent="0.25">
      <c r="A257" s="412"/>
      <c r="C257" s="367"/>
      <c r="D257" s="1">
        <v>4</v>
      </c>
      <c r="L257" s="14"/>
      <c r="AB257" s="367"/>
      <c r="AC257" s="367"/>
      <c r="AD257" s="367"/>
      <c r="AE257" s="367"/>
    </row>
    <row r="258" spans="1:31" s="1" customFormat="1" ht="21" customHeight="1" x14ac:dyDescent="0.25">
      <c r="A258" s="412"/>
      <c r="C258" s="367"/>
      <c r="D258" s="1">
        <v>1</v>
      </c>
      <c r="L258" s="14"/>
      <c r="AB258" s="367"/>
      <c r="AC258" s="367"/>
      <c r="AD258" s="367"/>
      <c r="AE258" s="367"/>
    </row>
    <row r="259" spans="1:31" s="1" customFormat="1" ht="21" customHeight="1" x14ac:dyDescent="0.25">
      <c r="A259" s="412"/>
      <c r="C259" s="367"/>
      <c r="D259" s="1">
        <v>2</v>
      </c>
      <c r="L259" s="14"/>
      <c r="AB259" s="367"/>
      <c r="AC259" s="367"/>
      <c r="AD259" s="367"/>
      <c r="AE259" s="367"/>
    </row>
    <row r="260" spans="1:31" s="1" customFormat="1" ht="21" customHeight="1" x14ac:dyDescent="0.25">
      <c r="A260" s="412"/>
      <c r="C260" s="367"/>
      <c r="D260" s="1">
        <v>4</v>
      </c>
      <c r="L260" s="14"/>
      <c r="AB260" s="367"/>
      <c r="AC260" s="367"/>
      <c r="AD260" s="367"/>
      <c r="AE260" s="367"/>
    </row>
    <row r="261" spans="1:31" s="1" customFormat="1" ht="21" customHeight="1" x14ac:dyDescent="0.25">
      <c r="A261" s="412"/>
      <c r="C261" s="367"/>
      <c r="D261" s="1">
        <v>4</v>
      </c>
      <c r="L261" s="14"/>
      <c r="AB261" s="367"/>
      <c r="AC261" s="367"/>
      <c r="AD261" s="367"/>
      <c r="AE261" s="367"/>
    </row>
    <row r="262" spans="1:31" s="1" customFormat="1" ht="21" customHeight="1" x14ac:dyDescent="0.25">
      <c r="A262" s="412"/>
      <c r="C262" s="367"/>
      <c r="D262" s="1">
        <v>1</v>
      </c>
      <c r="L262" s="14"/>
      <c r="AB262" s="367"/>
      <c r="AC262" s="367"/>
      <c r="AD262" s="367"/>
      <c r="AE262" s="367"/>
    </row>
    <row r="263" spans="1:31" s="1" customFormat="1" ht="21" customHeight="1" x14ac:dyDescent="0.25">
      <c r="A263" s="412"/>
      <c r="C263" s="367"/>
      <c r="D263" s="1">
        <v>1</v>
      </c>
      <c r="L263" s="14"/>
      <c r="AB263" s="367"/>
      <c r="AC263" s="367"/>
      <c r="AD263" s="367"/>
      <c r="AE263" s="367"/>
    </row>
    <row r="264" spans="1:31" s="1" customFormat="1" ht="21" customHeight="1" x14ac:dyDescent="0.25">
      <c r="A264" s="412"/>
      <c r="C264" s="367"/>
      <c r="D264" s="1">
        <v>1</v>
      </c>
      <c r="L264" s="14"/>
      <c r="AB264" s="367"/>
      <c r="AC264" s="367"/>
      <c r="AD264" s="367"/>
      <c r="AE264" s="367"/>
    </row>
    <row r="265" spans="1:31" s="1" customFormat="1" ht="21" customHeight="1" x14ac:dyDescent="0.25">
      <c r="A265" s="412"/>
      <c r="C265" s="367"/>
      <c r="D265" s="1">
        <v>1</v>
      </c>
      <c r="L265" s="14"/>
      <c r="AB265" s="367"/>
      <c r="AC265" s="367"/>
      <c r="AD265" s="367"/>
      <c r="AE265" s="367"/>
    </row>
    <row r="266" spans="1:31" s="1" customFormat="1" ht="21" customHeight="1" x14ac:dyDescent="0.25">
      <c r="A266" s="412"/>
      <c r="C266" s="367"/>
      <c r="D266" s="1">
        <v>2</v>
      </c>
      <c r="L266" s="14"/>
      <c r="AB266" s="367"/>
      <c r="AC266" s="367"/>
      <c r="AD266" s="367"/>
      <c r="AE266" s="367"/>
    </row>
    <row r="267" spans="1:31" s="1" customFormat="1" ht="21" customHeight="1" x14ac:dyDescent="0.25">
      <c r="A267" s="412"/>
      <c r="C267" s="367"/>
      <c r="D267" s="1">
        <v>1</v>
      </c>
      <c r="L267" s="14"/>
      <c r="AB267" s="367"/>
      <c r="AC267" s="367"/>
      <c r="AD267" s="367"/>
      <c r="AE267" s="367"/>
    </row>
    <row r="268" spans="1:31" s="1" customFormat="1" ht="21" customHeight="1" x14ac:dyDescent="0.25">
      <c r="A268" s="412"/>
      <c r="C268" s="367"/>
      <c r="D268" s="1">
        <v>1</v>
      </c>
      <c r="L268" s="14"/>
      <c r="AB268" s="367"/>
      <c r="AC268" s="367"/>
      <c r="AD268" s="367"/>
      <c r="AE268" s="367"/>
    </row>
    <row r="269" spans="1:31" s="1" customFormat="1" ht="21" customHeight="1" x14ac:dyDescent="0.25">
      <c r="A269" s="412"/>
      <c r="C269" s="367"/>
      <c r="D269" s="1">
        <v>1</v>
      </c>
      <c r="L269" s="14"/>
      <c r="AB269" s="367"/>
      <c r="AC269" s="367"/>
      <c r="AD269" s="367"/>
      <c r="AE269" s="367"/>
    </row>
    <row r="270" spans="1:31" s="1" customFormat="1" ht="21" customHeight="1" x14ac:dyDescent="0.25">
      <c r="A270" s="412"/>
      <c r="C270" s="367"/>
      <c r="D270" s="1">
        <v>3</v>
      </c>
      <c r="L270" s="14"/>
      <c r="AB270" s="367"/>
      <c r="AC270" s="367"/>
      <c r="AD270" s="367"/>
      <c r="AE270" s="367"/>
    </row>
    <row r="271" spans="1:31" s="1" customFormat="1" ht="21" customHeight="1" x14ac:dyDescent="0.25">
      <c r="A271" s="412"/>
      <c r="C271" s="367"/>
      <c r="D271" s="1">
        <v>3</v>
      </c>
      <c r="L271" s="14"/>
      <c r="AB271" s="367"/>
      <c r="AC271" s="367"/>
      <c r="AD271" s="367"/>
      <c r="AE271" s="367"/>
    </row>
    <row r="272" spans="1:31" s="1" customFormat="1" ht="21" customHeight="1" x14ac:dyDescent="0.25">
      <c r="A272" s="412"/>
      <c r="C272" s="367"/>
      <c r="D272" s="1">
        <v>4</v>
      </c>
      <c r="L272" s="14"/>
      <c r="AB272" s="367"/>
      <c r="AC272" s="367"/>
      <c r="AD272" s="367"/>
      <c r="AE272" s="367"/>
    </row>
    <row r="273" spans="1:31" s="1" customFormat="1" ht="21" customHeight="1" x14ac:dyDescent="0.25">
      <c r="A273" s="412"/>
      <c r="C273" s="367"/>
      <c r="D273" s="1">
        <v>1</v>
      </c>
      <c r="L273" s="14"/>
      <c r="AB273" s="367"/>
      <c r="AC273" s="367"/>
      <c r="AD273" s="367"/>
      <c r="AE273" s="367"/>
    </row>
    <row r="274" spans="1:31" s="1" customFormat="1" ht="21" customHeight="1" x14ac:dyDescent="0.25">
      <c r="A274" s="412"/>
      <c r="C274" s="367"/>
      <c r="D274" s="1">
        <v>4</v>
      </c>
      <c r="L274" s="14"/>
      <c r="AB274" s="367"/>
      <c r="AC274" s="367"/>
      <c r="AD274" s="367"/>
      <c r="AE274" s="367"/>
    </row>
    <row r="275" spans="1:31" s="1" customFormat="1" ht="21" customHeight="1" x14ac:dyDescent="0.25">
      <c r="A275" s="412"/>
      <c r="C275" s="367"/>
      <c r="D275" s="1">
        <v>1</v>
      </c>
      <c r="L275" s="14"/>
      <c r="AB275" s="367"/>
      <c r="AC275" s="367"/>
      <c r="AD275" s="367"/>
      <c r="AE275" s="367"/>
    </row>
    <row r="276" spans="1:31" s="1" customFormat="1" ht="21" customHeight="1" x14ac:dyDescent="0.25">
      <c r="A276" s="412"/>
      <c r="C276" s="367"/>
      <c r="D276" s="1">
        <v>1</v>
      </c>
      <c r="L276" s="14"/>
      <c r="AB276" s="367"/>
      <c r="AC276" s="367"/>
      <c r="AD276" s="367"/>
      <c r="AE276" s="367"/>
    </row>
    <row r="277" spans="1:31" s="1" customFormat="1" ht="21" customHeight="1" x14ac:dyDescent="0.25">
      <c r="A277" s="412"/>
      <c r="C277" s="367"/>
      <c r="D277" s="1">
        <v>1</v>
      </c>
      <c r="L277" s="14"/>
      <c r="AB277" s="367"/>
      <c r="AC277" s="367"/>
      <c r="AD277" s="367"/>
      <c r="AE277" s="367"/>
    </row>
    <row r="278" spans="1:31" s="1" customFormat="1" ht="21" customHeight="1" x14ac:dyDescent="0.25">
      <c r="A278" s="412"/>
      <c r="C278" s="367"/>
      <c r="D278" s="1">
        <v>1</v>
      </c>
      <c r="L278" s="14"/>
      <c r="AB278" s="367"/>
      <c r="AC278" s="367"/>
      <c r="AD278" s="367"/>
      <c r="AE278" s="367"/>
    </row>
    <row r="279" spans="1:31" s="1" customFormat="1" ht="21" customHeight="1" x14ac:dyDescent="0.25">
      <c r="A279" s="412"/>
      <c r="C279" s="367"/>
      <c r="D279" s="1">
        <v>1</v>
      </c>
      <c r="L279" s="14"/>
      <c r="AB279" s="367"/>
      <c r="AC279" s="367"/>
      <c r="AD279" s="367"/>
      <c r="AE279" s="367"/>
    </row>
    <row r="280" spans="1:31" s="1" customFormat="1" ht="21" customHeight="1" x14ac:dyDescent="0.25">
      <c r="A280" s="412"/>
      <c r="C280" s="367"/>
      <c r="D280" s="1">
        <v>3</v>
      </c>
      <c r="L280" s="14"/>
      <c r="AB280" s="367"/>
      <c r="AC280" s="367"/>
      <c r="AD280" s="367"/>
      <c r="AE280" s="367"/>
    </row>
    <row r="281" spans="1:31" s="1" customFormat="1" ht="21" customHeight="1" x14ac:dyDescent="0.25">
      <c r="A281" s="412"/>
      <c r="C281" s="367"/>
      <c r="D281" s="1">
        <v>2</v>
      </c>
      <c r="L281" s="14"/>
      <c r="AB281" s="367"/>
      <c r="AC281" s="367"/>
      <c r="AD281" s="367"/>
      <c r="AE281" s="367"/>
    </row>
    <row r="282" spans="1:31" s="1" customFormat="1" ht="21" customHeight="1" x14ac:dyDescent="0.25">
      <c r="A282" s="412"/>
      <c r="C282" s="367"/>
      <c r="D282" s="1">
        <v>3</v>
      </c>
      <c r="L282" s="14"/>
      <c r="AB282" s="367"/>
      <c r="AC282" s="367"/>
      <c r="AD282" s="367"/>
      <c r="AE282" s="367"/>
    </row>
    <row r="283" spans="1:31" s="1" customFormat="1" ht="21" customHeight="1" x14ac:dyDescent="0.25">
      <c r="A283" s="412"/>
      <c r="C283" s="367"/>
      <c r="D283" s="1">
        <v>2</v>
      </c>
      <c r="L283" s="14"/>
      <c r="AB283" s="367"/>
      <c r="AC283" s="367"/>
      <c r="AD283" s="367"/>
      <c r="AE283" s="367"/>
    </row>
    <row r="284" spans="1:31" s="1" customFormat="1" ht="21" customHeight="1" x14ac:dyDescent="0.25">
      <c r="A284" s="412"/>
      <c r="C284" s="367"/>
      <c r="D284" s="1">
        <v>4</v>
      </c>
      <c r="L284" s="14"/>
      <c r="AB284" s="367"/>
      <c r="AC284" s="367"/>
      <c r="AD284" s="367"/>
      <c r="AE284" s="367"/>
    </row>
    <row r="285" spans="1:31" s="1" customFormat="1" ht="21" customHeight="1" x14ac:dyDescent="0.25">
      <c r="A285" s="412"/>
      <c r="C285" s="367"/>
      <c r="D285" s="1">
        <v>2</v>
      </c>
      <c r="L285" s="14"/>
      <c r="AB285" s="367"/>
      <c r="AC285" s="367"/>
      <c r="AD285" s="367"/>
      <c r="AE285" s="367"/>
    </row>
    <row r="286" spans="1:31" s="1" customFormat="1" ht="21" customHeight="1" x14ac:dyDescent="0.25">
      <c r="A286" s="412"/>
      <c r="C286" s="367"/>
      <c r="D286" s="1">
        <v>4</v>
      </c>
      <c r="L286" s="14"/>
      <c r="AB286" s="367"/>
      <c r="AC286" s="367"/>
      <c r="AD286" s="367"/>
      <c r="AE286" s="367"/>
    </row>
    <row r="287" spans="1:31" s="1" customFormat="1" ht="21" customHeight="1" x14ac:dyDescent="0.25">
      <c r="A287" s="412"/>
      <c r="C287" s="367"/>
      <c r="D287" s="1">
        <v>1</v>
      </c>
      <c r="L287" s="14"/>
      <c r="AB287" s="367"/>
      <c r="AC287" s="367"/>
      <c r="AD287" s="367"/>
      <c r="AE287" s="367"/>
    </row>
    <row r="288" spans="1:31" s="1" customFormat="1" ht="21" customHeight="1" x14ac:dyDescent="0.25">
      <c r="A288" s="412"/>
      <c r="C288" s="367"/>
      <c r="D288" s="1">
        <v>1</v>
      </c>
      <c r="L288" s="14"/>
      <c r="AB288" s="367"/>
      <c r="AC288" s="367"/>
      <c r="AD288" s="367"/>
      <c r="AE288" s="367"/>
    </row>
    <row r="289" spans="1:31" s="1" customFormat="1" ht="21" customHeight="1" x14ac:dyDescent="0.25">
      <c r="A289" s="412"/>
      <c r="C289" s="367"/>
      <c r="D289" s="1">
        <v>2</v>
      </c>
      <c r="L289" s="14"/>
      <c r="AB289" s="367"/>
      <c r="AC289" s="367"/>
      <c r="AD289" s="367"/>
      <c r="AE289" s="367"/>
    </row>
    <row r="290" spans="1:31" s="1" customFormat="1" ht="21" customHeight="1" x14ac:dyDescent="0.25">
      <c r="A290" s="412"/>
      <c r="C290" s="367"/>
      <c r="D290" s="1">
        <v>2</v>
      </c>
      <c r="L290" s="14"/>
      <c r="AB290" s="367"/>
      <c r="AC290" s="367"/>
      <c r="AD290" s="367"/>
      <c r="AE290" s="367"/>
    </row>
    <row r="291" spans="1:31" s="1" customFormat="1" ht="21" customHeight="1" x14ac:dyDescent="0.25">
      <c r="A291" s="412"/>
      <c r="C291" s="367"/>
      <c r="D291" s="1">
        <v>1</v>
      </c>
      <c r="L291" s="14"/>
      <c r="AB291" s="367"/>
      <c r="AC291" s="367"/>
      <c r="AD291" s="367"/>
      <c r="AE291" s="367"/>
    </row>
    <row r="292" spans="1:31" s="1" customFormat="1" ht="21" customHeight="1" x14ac:dyDescent="0.25">
      <c r="A292" s="412"/>
      <c r="C292" s="367"/>
      <c r="D292" s="1">
        <v>1</v>
      </c>
      <c r="L292" s="14"/>
      <c r="AB292" s="367"/>
      <c r="AC292" s="367"/>
      <c r="AD292" s="367"/>
      <c r="AE292" s="367"/>
    </row>
    <row r="293" spans="1:31" s="1" customFormat="1" ht="21" customHeight="1" x14ac:dyDescent="0.25">
      <c r="A293" s="412"/>
      <c r="C293" s="367"/>
      <c r="D293" s="1">
        <v>2</v>
      </c>
      <c r="L293" s="14"/>
      <c r="AB293" s="367"/>
      <c r="AC293" s="367"/>
      <c r="AD293" s="367"/>
      <c r="AE293" s="367"/>
    </row>
    <row r="294" spans="1:31" s="1" customFormat="1" ht="21" customHeight="1" x14ac:dyDescent="0.25">
      <c r="A294" s="412"/>
      <c r="C294" s="367"/>
      <c r="D294" s="1">
        <v>5</v>
      </c>
      <c r="L294" s="14"/>
      <c r="AB294" s="367"/>
      <c r="AC294" s="367"/>
      <c r="AD294" s="367"/>
      <c r="AE294" s="367"/>
    </row>
    <row r="295" spans="1:31" s="1" customFormat="1" ht="21" customHeight="1" x14ac:dyDescent="0.25">
      <c r="A295" s="412"/>
      <c r="C295" s="367"/>
      <c r="D295" s="1">
        <v>4</v>
      </c>
      <c r="L295" s="14"/>
      <c r="AB295" s="367"/>
      <c r="AC295" s="367"/>
      <c r="AD295" s="367"/>
      <c r="AE295" s="367"/>
    </row>
    <row r="296" spans="1:31" s="1" customFormat="1" ht="21" customHeight="1" x14ac:dyDescent="0.25">
      <c r="A296" s="412"/>
      <c r="C296" s="367"/>
      <c r="D296" s="1">
        <v>3</v>
      </c>
      <c r="L296" s="14"/>
      <c r="AB296" s="367"/>
      <c r="AC296" s="367"/>
      <c r="AD296" s="367"/>
      <c r="AE296" s="367"/>
    </row>
    <row r="297" spans="1:31" s="1" customFormat="1" ht="21" customHeight="1" x14ac:dyDescent="0.25">
      <c r="A297" s="412"/>
      <c r="C297" s="367"/>
      <c r="D297" s="1">
        <v>2</v>
      </c>
      <c r="L297" s="14"/>
      <c r="AB297" s="367"/>
      <c r="AC297" s="367"/>
      <c r="AD297" s="367"/>
      <c r="AE297" s="367"/>
    </row>
    <row r="298" spans="1:31" s="1" customFormat="1" ht="21" customHeight="1" x14ac:dyDescent="0.25">
      <c r="A298" s="412"/>
      <c r="C298" s="367"/>
      <c r="D298" s="1">
        <v>2</v>
      </c>
      <c r="L298" s="14"/>
      <c r="AB298" s="367"/>
      <c r="AC298" s="367"/>
      <c r="AD298" s="367"/>
      <c r="AE298" s="367"/>
    </row>
    <row r="299" spans="1:31" s="1" customFormat="1" ht="21" customHeight="1" x14ac:dyDescent="0.25">
      <c r="A299" s="412"/>
      <c r="C299" s="367"/>
      <c r="D299" s="1">
        <v>2</v>
      </c>
      <c r="L299" s="14"/>
      <c r="AB299" s="367"/>
      <c r="AC299" s="367"/>
      <c r="AD299" s="367"/>
      <c r="AE299" s="367"/>
    </row>
    <row r="300" spans="1:31" s="1" customFormat="1" ht="21" customHeight="1" x14ac:dyDescent="0.25">
      <c r="A300" s="412"/>
      <c r="C300" s="367"/>
      <c r="D300" s="1">
        <v>1</v>
      </c>
      <c r="L300" s="14"/>
      <c r="AB300" s="367"/>
      <c r="AC300" s="367"/>
      <c r="AD300" s="367"/>
      <c r="AE300" s="367"/>
    </row>
    <row r="301" spans="1:31" s="1" customFormat="1" ht="21" customHeight="1" x14ac:dyDescent="0.25">
      <c r="A301" s="412"/>
      <c r="C301" s="367"/>
      <c r="D301" s="1">
        <v>3</v>
      </c>
      <c r="L301" s="14"/>
      <c r="AB301" s="367"/>
      <c r="AC301" s="367"/>
      <c r="AD301" s="367"/>
      <c r="AE301" s="367"/>
    </row>
    <row r="302" spans="1:31" s="1" customFormat="1" ht="21" customHeight="1" x14ac:dyDescent="0.25">
      <c r="A302" s="412"/>
      <c r="C302" s="367"/>
      <c r="D302" s="1">
        <v>5</v>
      </c>
      <c r="L302" s="14"/>
      <c r="AB302" s="367"/>
      <c r="AC302" s="367"/>
      <c r="AD302" s="367"/>
      <c r="AE302" s="367"/>
    </row>
    <row r="303" spans="1:31" s="1" customFormat="1" ht="21" customHeight="1" x14ac:dyDescent="0.25">
      <c r="A303" s="412"/>
      <c r="C303" s="367"/>
      <c r="D303" s="1">
        <v>2</v>
      </c>
      <c r="L303" s="14"/>
      <c r="AB303" s="367"/>
      <c r="AC303" s="367"/>
      <c r="AD303" s="367"/>
      <c r="AE303" s="367"/>
    </row>
    <row r="304" spans="1:31" s="1" customFormat="1" ht="21" customHeight="1" x14ac:dyDescent="0.25">
      <c r="A304" s="414"/>
      <c r="C304" s="367"/>
      <c r="D304" s="1">
        <v>5</v>
      </c>
      <c r="L304" s="14"/>
      <c r="AB304" s="367"/>
      <c r="AC304" s="367"/>
      <c r="AD304" s="367"/>
      <c r="AE304" s="367"/>
    </row>
    <row r="305" spans="1:31" s="1" customFormat="1" ht="21" customHeight="1" x14ac:dyDescent="0.25">
      <c r="A305" s="414"/>
      <c r="C305" s="367"/>
      <c r="D305" s="1">
        <v>4</v>
      </c>
      <c r="L305" s="14"/>
      <c r="AB305" s="367"/>
      <c r="AC305" s="367"/>
      <c r="AD305" s="367"/>
      <c r="AE305" s="367"/>
    </row>
    <row r="306" spans="1:31" s="1" customFormat="1" ht="21" customHeight="1" x14ac:dyDescent="0.25">
      <c r="A306" s="414"/>
      <c r="C306" s="367"/>
      <c r="D306" s="1">
        <v>4</v>
      </c>
      <c r="L306" s="14"/>
      <c r="AB306" s="367"/>
      <c r="AC306" s="367"/>
      <c r="AD306" s="367"/>
      <c r="AE306" s="367"/>
    </row>
    <row r="307" spans="1:31" s="1" customFormat="1" ht="21" customHeight="1" x14ac:dyDescent="0.25">
      <c r="A307" s="414"/>
      <c r="C307" s="367"/>
      <c r="D307" s="1">
        <v>4</v>
      </c>
      <c r="L307" s="14"/>
      <c r="AB307" s="367"/>
      <c r="AC307" s="367"/>
      <c r="AD307" s="367"/>
      <c r="AE307" s="367"/>
    </row>
    <row r="308" spans="1:31" s="1" customFormat="1" ht="21" customHeight="1" x14ac:dyDescent="0.25">
      <c r="A308" s="414"/>
      <c r="C308" s="367"/>
      <c r="D308" s="1">
        <v>4</v>
      </c>
      <c r="L308" s="14"/>
      <c r="AB308" s="367"/>
      <c r="AC308" s="367"/>
      <c r="AD308" s="367"/>
      <c r="AE308" s="367"/>
    </row>
    <row r="309" spans="1:31" s="1" customFormat="1" ht="21" customHeight="1" x14ac:dyDescent="0.25">
      <c r="A309" s="414"/>
      <c r="C309" s="367"/>
      <c r="D309" s="1">
        <v>2</v>
      </c>
      <c r="L309" s="14"/>
      <c r="AB309" s="367"/>
      <c r="AC309" s="367"/>
      <c r="AD309" s="367"/>
      <c r="AE309" s="367"/>
    </row>
    <row r="310" spans="1:31" s="1" customFormat="1" ht="21" customHeight="1" x14ac:dyDescent="0.25">
      <c r="A310" s="414"/>
      <c r="C310" s="367"/>
      <c r="D310" s="1">
        <v>4</v>
      </c>
      <c r="L310" s="14"/>
      <c r="AB310" s="367"/>
      <c r="AC310" s="367"/>
      <c r="AD310" s="367"/>
      <c r="AE310" s="367"/>
    </row>
    <row r="311" spans="1:31" s="1" customFormat="1" ht="21" customHeight="1" x14ac:dyDescent="0.25">
      <c r="A311" s="414"/>
      <c r="C311" s="367"/>
      <c r="D311" s="1">
        <v>2</v>
      </c>
      <c r="L311" s="14"/>
      <c r="AB311" s="367"/>
      <c r="AC311" s="367"/>
      <c r="AD311" s="367"/>
      <c r="AE311" s="367"/>
    </row>
    <row r="312" spans="1:31" s="1" customFormat="1" ht="21" customHeight="1" x14ac:dyDescent="0.25">
      <c r="A312" s="414"/>
      <c r="C312" s="367"/>
      <c r="D312" s="1">
        <v>2</v>
      </c>
      <c r="L312" s="14"/>
      <c r="AB312" s="367"/>
      <c r="AC312" s="367"/>
      <c r="AD312" s="367"/>
      <c r="AE312" s="367"/>
    </row>
    <row r="313" spans="1:31" s="1" customFormat="1" ht="21" customHeight="1" x14ac:dyDescent="0.25">
      <c r="A313" s="414"/>
      <c r="C313" s="367"/>
      <c r="D313" s="1">
        <v>1</v>
      </c>
      <c r="L313" s="14"/>
      <c r="AB313" s="367"/>
      <c r="AC313" s="367"/>
      <c r="AD313" s="367"/>
      <c r="AE313" s="367"/>
    </row>
    <row r="314" spans="1:31" s="1" customFormat="1" ht="21" customHeight="1" x14ac:dyDescent="0.25">
      <c r="A314" s="414"/>
      <c r="C314" s="367"/>
      <c r="D314" s="1">
        <v>2</v>
      </c>
      <c r="L314" s="14"/>
      <c r="AB314" s="367"/>
      <c r="AC314" s="367"/>
      <c r="AD314" s="367"/>
      <c r="AE314" s="367"/>
    </row>
    <row r="315" spans="1:31" s="1" customFormat="1" ht="21" customHeight="1" x14ac:dyDescent="0.25">
      <c r="A315" s="414"/>
      <c r="C315" s="367"/>
      <c r="D315" s="1">
        <v>5</v>
      </c>
      <c r="L315" s="14"/>
      <c r="AB315" s="367"/>
      <c r="AC315" s="367"/>
      <c r="AD315" s="367"/>
      <c r="AE315" s="367"/>
    </row>
    <row r="316" spans="1:31" s="1" customFormat="1" ht="21" customHeight="1" x14ac:dyDescent="0.25">
      <c r="A316" s="414"/>
      <c r="C316" s="367"/>
      <c r="D316" s="1">
        <v>1</v>
      </c>
      <c r="L316" s="14"/>
      <c r="AB316" s="367"/>
      <c r="AC316" s="367"/>
      <c r="AD316" s="367"/>
      <c r="AE316" s="367"/>
    </row>
    <row r="317" spans="1:31" s="1" customFormat="1" ht="21" customHeight="1" x14ac:dyDescent="0.25">
      <c r="A317" s="414"/>
      <c r="C317" s="367"/>
      <c r="D317" s="1">
        <v>4</v>
      </c>
      <c r="L317" s="14"/>
      <c r="AB317" s="367"/>
      <c r="AC317" s="367"/>
      <c r="AD317" s="367"/>
      <c r="AE317" s="367"/>
    </row>
    <row r="318" spans="1:31" s="1" customFormat="1" ht="21" customHeight="1" x14ac:dyDescent="0.25">
      <c r="A318" s="414"/>
      <c r="C318" s="367"/>
      <c r="D318" s="1">
        <v>2</v>
      </c>
      <c r="L318" s="14"/>
      <c r="AB318" s="367"/>
      <c r="AC318" s="367"/>
      <c r="AD318" s="367"/>
      <c r="AE318" s="367"/>
    </row>
    <row r="319" spans="1:31" s="1" customFormat="1" ht="21" customHeight="1" x14ac:dyDescent="0.25">
      <c r="A319" s="414"/>
      <c r="C319" s="367"/>
      <c r="D319" s="1">
        <v>4</v>
      </c>
      <c r="L319" s="14"/>
      <c r="AB319" s="367"/>
      <c r="AC319" s="367"/>
      <c r="AD319" s="367"/>
      <c r="AE319" s="367"/>
    </row>
    <row r="320" spans="1:31" s="1" customFormat="1" ht="21" customHeight="1" x14ac:dyDescent="0.25">
      <c r="A320" s="414"/>
      <c r="C320" s="367"/>
      <c r="D320" s="1">
        <v>4</v>
      </c>
      <c r="L320" s="14"/>
      <c r="AB320" s="367"/>
      <c r="AC320" s="367"/>
      <c r="AD320" s="367"/>
      <c r="AE320" s="367"/>
    </row>
    <row r="321" spans="1:31" s="1" customFormat="1" ht="21" customHeight="1" x14ac:dyDescent="0.25">
      <c r="A321" s="414"/>
      <c r="C321" s="367"/>
      <c r="D321" s="1">
        <v>5</v>
      </c>
      <c r="L321" s="14"/>
      <c r="AB321" s="367"/>
      <c r="AC321" s="367"/>
      <c r="AD321" s="367"/>
      <c r="AE321" s="367"/>
    </row>
    <row r="322" spans="1:31" s="1" customFormat="1" ht="21" customHeight="1" x14ac:dyDescent="0.25">
      <c r="A322" s="414"/>
      <c r="C322" s="367"/>
      <c r="D322" s="1">
        <v>4</v>
      </c>
      <c r="L322" s="14"/>
      <c r="AB322" s="367"/>
      <c r="AC322" s="367"/>
      <c r="AD322" s="367"/>
      <c r="AE322" s="367"/>
    </row>
    <row r="323" spans="1:31" s="1" customFormat="1" ht="21" customHeight="1" x14ac:dyDescent="0.25">
      <c r="A323" s="414"/>
      <c r="C323" s="367"/>
      <c r="D323" s="1">
        <v>5</v>
      </c>
      <c r="L323" s="14"/>
      <c r="AB323" s="367"/>
      <c r="AC323" s="367"/>
      <c r="AD323" s="367"/>
      <c r="AE323" s="367"/>
    </row>
    <row r="324" spans="1:31" s="1" customFormat="1" ht="21" customHeight="1" x14ac:dyDescent="0.25">
      <c r="A324" s="414"/>
      <c r="C324" s="367"/>
      <c r="D324" s="1">
        <v>5</v>
      </c>
      <c r="L324" s="14"/>
      <c r="AB324" s="367"/>
      <c r="AC324" s="367"/>
      <c r="AD324" s="367"/>
      <c r="AE324" s="367"/>
    </row>
    <row r="325" spans="1:31" s="1" customFormat="1" ht="21" customHeight="1" x14ac:dyDescent="0.25">
      <c r="A325" s="414"/>
      <c r="C325" s="367"/>
      <c r="D325" s="1">
        <v>4</v>
      </c>
      <c r="L325" s="14"/>
      <c r="AB325" s="367"/>
      <c r="AC325" s="367"/>
      <c r="AD325" s="367"/>
      <c r="AE325" s="367"/>
    </row>
    <row r="326" spans="1:31" s="1" customFormat="1" ht="21" customHeight="1" x14ac:dyDescent="0.25">
      <c r="A326" s="414"/>
      <c r="C326" s="367"/>
      <c r="D326" s="1">
        <v>2</v>
      </c>
      <c r="L326" s="14"/>
      <c r="AB326" s="367"/>
      <c r="AC326" s="367"/>
      <c r="AD326" s="367"/>
      <c r="AE326" s="367"/>
    </row>
    <row r="327" spans="1:31" s="1" customFormat="1" ht="21" customHeight="1" x14ac:dyDescent="0.25">
      <c r="A327" s="414"/>
      <c r="C327" s="367"/>
      <c r="D327" s="1">
        <v>1</v>
      </c>
      <c r="L327" s="14"/>
      <c r="AB327" s="367"/>
      <c r="AC327" s="367"/>
      <c r="AD327" s="367"/>
      <c r="AE327" s="367"/>
    </row>
    <row r="328" spans="1:31" s="1" customFormat="1" ht="21" customHeight="1" x14ac:dyDescent="0.25">
      <c r="A328" s="414"/>
      <c r="C328" s="367"/>
      <c r="D328" s="1">
        <v>1</v>
      </c>
      <c r="L328" s="14"/>
      <c r="AB328" s="367"/>
      <c r="AC328" s="367"/>
      <c r="AD328" s="367"/>
      <c r="AE328" s="367"/>
    </row>
    <row r="329" spans="1:31" s="1" customFormat="1" ht="21" customHeight="1" x14ac:dyDescent="0.25">
      <c r="A329" s="414"/>
      <c r="C329" s="367"/>
      <c r="D329" s="1">
        <v>3</v>
      </c>
      <c r="L329" s="14"/>
      <c r="AB329" s="367"/>
      <c r="AC329" s="367"/>
      <c r="AD329" s="367"/>
      <c r="AE329" s="367"/>
    </row>
    <row r="330" spans="1:31" s="1" customFormat="1" ht="21" customHeight="1" x14ac:dyDescent="0.25">
      <c r="A330" s="414"/>
      <c r="C330" s="367"/>
      <c r="D330" s="1">
        <v>4</v>
      </c>
      <c r="L330" s="14"/>
      <c r="AB330" s="367"/>
      <c r="AC330" s="367"/>
      <c r="AD330" s="367"/>
      <c r="AE330" s="367"/>
    </row>
    <row r="331" spans="1:31" s="1" customFormat="1" ht="21" customHeight="1" x14ac:dyDescent="0.25">
      <c r="A331" s="414"/>
      <c r="C331" s="367"/>
      <c r="D331" s="1">
        <v>4</v>
      </c>
      <c r="L331" s="14"/>
      <c r="AB331" s="367"/>
      <c r="AC331" s="367"/>
      <c r="AD331" s="367"/>
      <c r="AE331" s="367"/>
    </row>
    <row r="332" spans="1:31" s="1" customFormat="1" ht="21" customHeight="1" x14ac:dyDescent="0.25">
      <c r="A332" s="414"/>
      <c r="C332" s="367"/>
      <c r="D332" s="1">
        <v>5</v>
      </c>
      <c r="L332" s="14"/>
      <c r="AB332" s="367"/>
      <c r="AC332" s="367"/>
      <c r="AD332" s="367"/>
      <c r="AE332" s="367"/>
    </row>
    <row r="333" spans="1:31" s="1" customFormat="1" ht="21" customHeight="1" x14ac:dyDescent="0.25">
      <c r="A333" s="414"/>
      <c r="C333" s="367"/>
      <c r="D333" s="1">
        <v>1</v>
      </c>
      <c r="L333" s="14"/>
      <c r="AB333" s="367"/>
      <c r="AC333" s="367"/>
      <c r="AD333" s="367"/>
      <c r="AE333" s="367"/>
    </row>
    <row r="334" spans="1:31" s="1" customFormat="1" ht="21" customHeight="1" x14ac:dyDescent="0.25">
      <c r="A334" s="414"/>
      <c r="C334" s="367"/>
      <c r="D334" s="1">
        <v>4</v>
      </c>
      <c r="L334" s="14"/>
      <c r="AB334" s="367"/>
      <c r="AC334" s="367"/>
      <c r="AD334" s="367"/>
      <c r="AE334" s="367"/>
    </row>
    <row r="335" spans="1:31" s="1" customFormat="1" ht="21" customHeight="1" x14ac:dyDescent="0.25">
      <c r="A335" s="414"/>
      <c r="C335" s="367"/>
      <c r="D335" s="1">
        <v>3</v>
      </c>
      <c r="L335" s="14"/>
      <c r="AB335" s="367"/>
      <c r="AC335" s="367"/>
      <c r="AD335" s="367"/>
      <c r="AE335" s="367"/>
    </row>
    <row r="336" spans="1:31" s="1" customFormat="1" ht="21" customHeight="1" x14ac:dyDescent="0.25">
      <c r="A336" s="414"/>
      <c r="C336" s="367"/>
      <c r="D336" s="1">
        <v>3</v>
      </c>
      <c r="L336" s="14"/>
      <c r="AB336" s="367"/>
      <c r="AC336" s="367"/>
      <c r="AD336" s="367"/>
      <c r="AE336" s="367"/>
    </row>
    <row r="337" spans="1:31" s="1" customFormat="1" ht="21" customHeight="1" x14ac:dyDescent="0.25">
      <c r="A337" s="414"/>
      <c r="C337" s="367"/>
      <c r="D337" s="1">
        <v>1</v>
      </c>
      <c r="L337" s="14"/>
      <c r="AB337" s="367"/>
      <c r="AC337" s="367"/>
      <c r="AD337" s="367"/>
      <c r="AE337" s="367"/>
    </row>
    <row r="338" spans="1:31" s="1" customFormat="1" ht="21" customHeight="1" x14ac:dyDescent="0.25">
      <c r="A338" s="414"/>
      <c r="C338" s="367"/>
      <c r="D338" s="1">
        <v>1</v>
      </c>
      <c r="L338" s="14"/>
      <c r="AB338" s="367"/>
      <c r="AC338" s="367"/>
      <c r="AD338" s="367"/>
      <c r="AE338" s="367"/>
    </row>
    <row r="339" spans="1:31" s="1" customFormat="1" ht="21" customHeight="1" x14ac:dyDescent="0.25">
      <c r="A339" s="414"/>
      <c r="C339" s="367"/>
      <c r="D339" s="1">
        <v>1</v>
      </c>
      <c r="L339" s="14"/>
      <c r="AB339" s="367"/>
      <c r="AC339" s="367"/>
      <c r="AD339" s="367"/>
      <c r="AE339" s="367"/>
    </row>
    <row r="340" spans="1:31" s="1" customFormat="1" ht="21" customHeight="1" x14ac:dyDescent="0.25">
      <c r="A340" s="414"/>
      <c r="C340" s="367"/>
      <c r="D340" s="1">
        <v>1</v>
      </c>
      <c r="L340" s="14"/>
      <c r="AB340" s="367"/>
      <c r="AC340" s="367"/>
      <c r="AD340" s="367"/>
      <c r="AE340" s="367"/>
    </row>
    <row r="341" spans="1:31" s="1" customFormat="1" ht="21" customHeight="1" x14ac:dyDescent="0.25">
      <c r="A341" s="414"/>
      <c r="C341" s="367"/>
      <c r="D341" s="1">
        <v>1</v>
      </c>
      <c r="L341" s="14"/>
      <c r="AB341" s="367"/>
      <c r="AC341" s="367"/>
      <c r="AD341" s="367"/>
      <c r="AE341" s="367"/>
    </row>
    <row r="342" spans="1:31" s="1" customFormat="1" ht="21" customHeight="1" x14ac:dyDescent="0.25">
      <c r="A342" s="414"/>
      <c r="C342" s="367"/>
      <c r="D342" s="1">
        <v>1</v>
      </c>
      <c r="L342" s="14"/>
      <c r="AB342" s="367"/>
      <c r="AC342" s="367"/>
      <c r="AD342" s="367"/>
      <c r="AE342" s="367"/>
    </row>
    <row r="343" spans="1:31" s="1" customFormat="1" ht="21" customHeight="1" x14ac:dyDescent="0.25">
      <c r="A343" s="414"/>
      <c r="C343" s="367"/>
      <c r="D343" s="1">
        <v>1</v>
      </c>
      <c r="L343" s="14"/>
      <c r="AB343" s="367"/>
      <c r="AC343" s="367"/>
      <c r="AD343" s="367"/>
      <c r="AE343" s="367"/>
    </row>
    <row r="344" spans="1:31" s="1" customFormat="1" ht="21" customHeight="1" x14ac:dyDescent="0.25">
      <c r="A344" s="414"/>
      <c r="C344" s="367"/>
      <c r="D344" s="1">
        <v>5</v>
      </c>
      <c r="L344" s="14"/>
      <c r="AB344" s="367"/>
      <c r="AC344" s="367"/>
      <c r="AD344" s="367"/>
      <c r="AE344" s="367"/>
    </row>
    <row r="345" spans="1:31" s="1" customFormat="1" ht="21" customHeight="1" x14ac:dyDescent="0.25">
      <c r="A345" s="414"/>
      <c r="C345" s="367"/>
      <c r="D345" s="1">
        <v>4</v>
      </c>
      <c r="L345" s="14"/>
      <c r="AB345" s="367"/>
      <c r="AC345" s="367"/>
      <c r="AD345" s="367"/>
      <c r="AE345" s="367"/>
    </row>
    <row r="346" spans="1:31" s="1" customFormat="1" ht="21" customHeight="1" x14ac:dyDescent="0.25">
      <c r="A346" s="414"/>
      <c r="C346" s="367"/>
      <c r="D346" s="1">
        <v>1</v>
      </c>
      <c r="L346" s="14"/>
      <c r="AB346" s="367"/>
      <c r="AC346" s="367"/>
      <c r="AD346" s="367"/>
      <c r="AE346" s="367"/>
    </row>
    <row r="347" spans="1:31" s="1" customFormat="1" ht="21" customHeight="1" x14ac:dyDescent="0.25">
      <c r="A347" s="414"/>
      <c r="C347" s="367"/>
      <c r="D347" s="1">
        <v>5</v>
      </c>
      <c r="L347" s="14"/>
      <c r="AB347" s="367"/>
      <c r="AC347" s="367"/>
      <c r="AD347" s="367"/>
      <c r="AE347" s="367"/>
    </row>
    <row r="348" spans="1:31" s="1" customFormat="1" ht="21" customHeight="1" x14ac:dyDescent="0.25">
      <c r="A348" s="414"/>
      <c r="C348" s="367"/>
      <c r="D348" s="1">
        <v>1</v>
      </c>
      <c r="L348" s="14"/>
      <c r="AB348" s="367"/>
      <c r="AC348" s="367"/>
      <c r="AD348" s="367"/>
      <c r="AE348" s="367"/>
    </row>
    <row r="349" spans="1:31" s="1" customFormat="1" ht="21" customHeight="1" x14ac:dyDescent="0.25">
      <c r="A349" s="414"/>
      <c r="C349" s="367"/>
      <c r="D349" s="1">
        <v>5</v>
      </c>
      <c r="L349" s="14"/>
      <c r="AB349" s="367"/>
      <c r="AC349" s="367"/>
      <c r="AD349" s="367"/>
      <c r="AE349" s="367"/>
    </row>
    <row r="350" spans="1:31" s="1" customFormat="1" ht="21" customHeight="1" x14ac:dyDescent="0.25">
      <c r="A350" s="414"/>
      <c r="C350" s="367"/>
      <c r="D350" s="1">
        <v>4</v>
      </c>
      <c r="L350" s="14"/>
      <c r="AB350" s="367"/>
      <c r="AC350" s="367"/>
      <c r="AD350" s="367"/>
      <c r="AE350" s="367"/>
    </row>
    <row r="351" spans="1:31" s="1" customFormat="1" ht="21" customHeight="1" x14ac:dyDescent="0.25">
      <c r="A351" s="414"/>
      <c r="C351" s="367"/>
      <c r="D351" s="1">
        <v>4</v>
      </c>
      <c r="L351" s="14"/>
      <c r="AB351" s="367"/>
      <c r="AC351" s="367"/>
      <c r="AD351" s="367"/>
      <c r="AE351" s="367"/>
    </row>
    <row r="352" spans="1:31" s="1" customFormat="1" ht="21" customHeight="1" x14ac:dyDescent="0.25">
      <c r="A352" s="414"/>
      <c r="C352" s="367"/>
      <c r="D352" s="1">
        <v>4</v>
      </c>
      <c r="L352" s="14"/>
      <c r="AB352" s="367"/>
      <c r="AC352" s="367"/>
      <c r="AD352" s="367"/>
      <c r="AE352" s="367"/>
    </row>
    <row r="353" spans="1:31" s="1" customFormat="1" ht="21" customHeight="1" x14ac:dyDescent="0.25">
      <c r="A353" s="414"/>
      <c r="C353" s="367"/>
      <c r="D353" s="1">
        <v>3</v>
      </c>
      <c r="L353" s="14"/>
      <c r="AB353" s="367"/>
      <c r="AC353" s="367"/>
      <c r="AD353" s="367"/>
      <c r="AE353" s="367"/>
    </row>
    <row r="354" spans="1:31" s="1" customFormat="1" ht="21" customHeight="1" x14ac:dyDescent="0.25">
      <c r="A354" s="414"/>
      <c r="C354" s="367"/>
      <c r="D354" s="1">
        <v>5</v>
      </c>
      <c r="L354" s="14"/>
      <c r="AB354" s="367"/>
      <c r="AC354" s="367"/>
      <c r="AD354" s="367"/>
      <c r="AE354" s="367"/>
    </row>
    <row r="355" spans="1:31" s="1" customFormat="1" ht="21" customHeight="1" x14ac:dyDescent="0.25">
      <c r="A355" s="414"/>
      <c r="C355" s="367"/>
      <c r="D355" s="1">
        <v>2</v>
      </c>
      <c r="L355" s="14"/>
      <c r="AB355" s="367"/>
      <c r="AC355" s="367"/>
      <c r="AD355" s="367"/>
      <c r="AE355" s="367"/>
    </row>
    <row r="356" spans="1:31" s="1" customFormat="1" ht="21" customHeight="1" x14ac:dyDescent="0.25">
      <c r="A356" s="414"/>
      <c r="C356" s="367"/>
      <c r="D356" s="1">
        <v>2</v>
      </c>
      <c r="L356" s="14"/>
      <c r="AB356" s="367"/>
      <c r="AC356" s="367"/>
      <c r="AD356" s="367"/>
      <c r="AE356" s="367"/>
    </row>
    <row r="357" spans="1:31" s="1" customFormat="1" ht="21" customHeight="1" x14ac:dyDescent="0.25">
      <c r="A357" s="414"/>
      <c r="C357" s="367"/>
      <c r="D357" s="1">
        <v>3</v>
      </c>
      <c r="L357" s="14"/>
      <c r="AB357" s="367"/>
      <c r="AC357" s="367"/>
      <c r="AD357" s="367"/>
      <c r="AE357" s="367"/>
    </row>
    <row r="358" spans="1:31" s="1" customFormat="1" ht="21" customHeight="1" x14ac:dyDescent="0.25">
      <c r="A358" s="414"/>
      <c r="C358" s="367"/>
      <c r="D358" s="1">
        <v>3</v>
      </c>
      <c r="L358" s="14"/>
      <c r="AB358" s="367"/>
      <c r="AC358" s="367"/>
      <c r="AD358" s="367"/>
      <c r="AE358" s="367"/>
    </row>
    <row r="359" spans="1:31" s="1" customFormat="1" ht="21" customHeight="1" x14ac:dyDescent="0.25">
      <c r="A359" s="414"/>
      <c r="C359" s="367"/>
      <c r="D359" s="1">
        <v>4</v>
      </c>
      <c r="L359" s="14"/>
      <c r="AB359" s="367"/>
      <c r="AC359" s="367"/>
      <c r="AD359" s="367"/>
      <c r="AE359" s="367"/>
    </row>
    <row r="360" spans="1:31" s="1" customFormat="1" ht="21" customHeight="1" x14ac:dyDescent="0.25">
      <c r="A360" s="414"/>
      <c r="C360" s="367"/>
      <c r="D360" s="1">
        <v>1</v>
      </c>
      <c r="L360" s="14"/>
      <c r="AB360" s="367"/>
      <c r="AC360" s="367"/>
      <c r="AD360" s="367"/>
      <c r="AE360" s="367"/>
    </row>
    <row r="361" spans="1:31" s="1" customFormat="1" ht="21" customHeight="1" x14ac:dyDescent="0.25">
      <c r="A361" s="414"/>
      <c r="C361" s="367"/>
      <c r="D361" s="1">
        <v>3</v>
      </c>
      <c r="L361" s="14"/>
      <c r="AB361" s="367"/>
      <c r="AC361" s="367"/>
      <c r="AD361" s="367"/>
      <c r="AE361" s="367"/>
    </row>
    <row r="362" spans="1:31" s="1" customFormat="1" ht="21" customHeight="1" x14ac:dyDescent="0.25">
      <c r="A362" s="414"/>
      <c r="C362" s="367"/>
      <c r="D362" s="1">
        <v>5</v>
      </c>
      <c r="L362" s="14"/>
      <c r="AB362" s="367"/>
      <c r="AC362" s="367"/>
      <c r="AD362" s="367"/>
      <c r="AE362" s="367"/>
    </row>
    <row r="363" spans="1:31" s="1" customFormat="1" ht="21" customHeight="1" x14ac:dyDescent="0.25">
      <c r="A363" s="414"/>
      <c r="C363" s="367"/>
      <c r="D363" s="1">
        <v>2</v>
      </c>
      <c r="L363" s="14"/>
      <c r="AB363" s="367"/>
      <c r="AC363" s="367"/>
      <c r="AD363" s="367"/>
      <c r="AE363" s="367"/>
    </row>
    <row r="364" spans="1:31" s="1" customFormat="1" ht="21" customHeight="1" x14ac:dyDescent="0.25">
      <c r="A364" s="414"/>
      <c r="C364" s="367"/>
      <c r="D364" s="1">
        <v>2</v>
      </c>
      <c r="L364" s="14"/>
      <c r="AB364" s="367"/>
      <c r="AC364" s="367"/>
      <c r="AD364" s="367"/>
      <c r="AE364" s="367"/>
    </row>
    <row r="365" spans="1:31" s="1" customFormat="1" ht="21" customHeight="1" x14ac:dyDescent="0.25">
      <c r="A365" s="414"/>
      <c r="C365" s="367"/>
      <c r="D365" s="1">
        <v>5</v>
      </c>
      <c r="L365" s="14"/>
      <c r="AB365" s="367"/>
      <c r="AC365" s="367"/>
      <c r="AD365" s="367"/>
      <c r="AE365" s="367"/>
    </row>
    <row r="366" spans="1:31" s="1" customFormat="1" ht="21" customHeight="1" x14ac:dyDescent="0.25">
      <c r="A366" s="414"/>
      <c r="C366" s="367"/>
      <c r="D366" s="1">
        <v>4</v>
      </c>
      <c r="L366" s="14"/>
      <c r="AB366" s="367"/>
      <c r="AC366" s="367"/>
      <c r="AD366" s="367"/>
      <c r="AE366" s="367"/>
    </row>
    <row r="367" spans="1:31" s="1" customFormat="1" ht="21" customHeight="1" x14ac:dyDescent="0.25">
      <c r="A367" s="414"/>
      <c r="C367" s="367"/>
      <c r="D367" s="1">
        <v>5</v>
      </c>
      <c r="L367" s="14"/>
      <c r="AB367" s="367"/>
      <c r="AC367" s="367"/>
      <c r="AD367" s="367"/>
      <c r="AE367" s="367"/>
    </row>
    <row r="368" spans="1:31" s="1" customFormat="1" ht="21" customHeight="1" x14ac:dyDescent="0.25">
      <c r="A368" s="414"/>
      <c r="C368" s="367"/>
      <c r="D368" s="1">
        <v>5</v>
      </c>
      <c r="L368" s="14"/>
      <c r="AB368" s="367"/>
      <c r="AC368" s="367"/>
      <c r="AD368" s="367"/>
      <c r="AE368" s="367"/>
    </row>
    <row r="369" spans="1:31" s="1" customFormat="1" ht="21" customHeight="1" x14ac:dyDescent="0.25">
      <c r="A369" s="414"/>
      <c r="C369" s="367"/>
      <c r="D369" s="1">
        <v>2</v>
      </c>
      <c r="L369" s="14"/>
      <c r="AB369" s="367"/>
      <c r="AC369" s="367"/>
      <c r="AD369" s="367"/>
      <c r="AE369" s="367"/>
    </row>
    <row r="370" spans="1:31" s="1" customFormat="1" ht="21" customHeight="1" x14ac:dyDescent="0.25">
      <c r="A370" s="414"/>
      <c r="C370" s="367"/>
      <c r="D370" s="1">
        <v>1</v>
      </c>
      <c r="L370" s="14"/>
      <c r="AB370" s="367"/>
      <c r="AC370" s="367"/>
      <c r="AD370" s="367"/>
      <c r="AE370" s="367"/>
    </row>
    <row r="371" spans="1:31" s="1" customFormat="1" ht="21" customHeight="1" x14ac:dyDescent="0.25">
      <c r="A371" s="414"/>
      <c r="C371" s="367"/>
      <c r="D371" s="1">
        <v>1</v>
      </c>
      <c r="L371" s="14"/>
      <c r="AB371" s="367"/>
      <c r="AC371" s="367"/>
      <c r="AD371" s="367"/>
      <c r="AE371" s="367"/>
    </row>
    <row r="372" spans="1:31" s="1" customFormat="1" ht="21" customHeight="1" x14ac:dyDescent="0.25">
      <c r="A372" s="414"/>
      <c r="C372" s="367"/>
      <c r="D372" s="1">
        <v>2</v>
      </c>
      <c r="L372" s="14"/>
      <c r="AB372" s="367"/>
      <c r="AC372" s="367"/>
      <c r="AD372" s="367"/>
      <c r="AE372" s="367"/>
    </row>
    <row r="373" spans="1:31" s="1" customFormat="1" ht="21" customHeight="1" x14ac:dyDescent="0.25">
      <c r="A373" s="414"/>
      <c r="C373" s="367"/>
      <c r="D373" s="1">
        <v>5</v>
      </c>
      <c r="L373" s="14"/>
      <c r="AB373" s="367"/>
      <c r="AC373" s="367"/>
      <c r="AD373" s="367"/>
      <c r="AE373" s="367"/>
    </row>
    <row r="374" spans="1:31" s="1" customFormat="1" ht="21" customHeight="1" x14ac:dyDescent="0.25">
      <c r="A374" s="414"/>
      <c r="C374" s="367"/>
      <c r="D374" s="1">
        <v>1</v>
      </c>
      <c r="L374" s="14"/>
      <c r="AB374" s="367"/>
      <c r="AC374" s="367"/>
      <c r="AD374" s="367"/>
      <c r="AE374" s="367"/>
    </row>
    <row r="375" spans="1:31" s="1" customFormat="1" ht="21" customHeight="1" x14ac:dyDescent="0.25">
      <c r="A375" s="414"/>
      <c r="C375" s="367"/>
      <c r="D375" s="1">
        <v>5</v>
      </c>
      <c r="L375" s="14"/>
      <c r="AB375" s="367"/>
      <c r="AC375" s="367"/>
      <c r="AD375" s="367"/>
      <c r="AE375" s="367"/>
    </row>
    <row r="376" spans="1:31" s="1" customFormat="1" ht="21" customHeight="1" x14ac:dyDescent="0.25">
      <c r="A376" s="414"/>
      <c r="C376" s="367"/>
      <c r="D376" s="1">
        <v>2</v>
      </c>
      <c r="L376" s="14"/>
      <c r="AB376" s="367"/>
      <c r="AC376" s="367"/>
      <c r="AD376" s="367"/>
      <c r="AE376" s="367"/>
    </row>
    <row r="377" spans="1:31" s="1" customFormat="1" ht="21" customHeight="1" x14ac:dyDescent="0.25">
      <c r="A377" s="414"/>
      <c r="C377" s="367"/>
      <c r="D377" s="1">
        <v>2</v>
      </c>
      <c r="L377" s="14"/>
      <c r="AB377" s="367"/>
      <c r="AC377" s="367"/>
      <c r="AD377" s="367"/>
      <c r="AE377" s="367"/>
    </row>
    <row r="378" spans="1:31" s="1" customFormat="1" ht="21" customHeight="1" x14ac:dyDescent="0.25">
      <c r="A378" s="414"/>
      <c r="C378" s="367"/>
      <c r="D378" s="1">
        <v>3</v>
      </c>
      <c r="L378" s="14"/>
      <c r="AB378" s="367"/>
      <c r="AC378" s="367"/>
      <c r="AD378" s="367"/>
      <c r="AE378" s="367"/>
    </row>
    <row r="379" spans="1:31" s="1" customFormat="1" ht="21" customHeight="1" x14ac:dyDescent="0.25">
      <c r="A379" s="414"/>
      <c r="C379" s="367"/>
      <c r="D379" s="1">
        <v>2</v>
      </c>
      <c r="L379" s="14"/>
      <c r="AB379" s="367"/>
      <c r="AC379" s="367"/>
      <c r="AD379" s="367"/>
      <c r="AE379" s="367"/>
    </row>
    <row r="380" spans="1:31" s="1" customFormat="1" ht="21" customHeight="1" x14ac:dyDescent="0.25">
      <c r="A380" s="414"/>
      <c r="C380" s="367"/>
      <c r="D380" s="1">
        <v>3</v>
      </c>
      <c r="L380" s="14"/>
      <c r="AB380" s="367"/>
      <c r="AC380" s="367"/>
      <c r="AD380" s="367"/>
      <c r="AE380" s="367"/>
    </row>
    <row r="381" spans="1:31" s="1" customFormat="1" ht="21" customHeight="1" x14ac:dyDescent="0.25">
      <c r="A381" s="414"/>
      <c r="C381" s="367"/>
      <c r="D381" s="1">
        <v>4</v>
      </c>
      <c r="L381" s="14"/>
      <c r="AB381" s="367"/>
      <c r="AC381" s="367"/>
      <c r="AD381" s="367"/>
      <c r="AE381" s="367"/>
    </row>
    <row r="382" spans="1:31" s="1" customFormat="1" ht="21" customHeight="1" x14ac:dyDescent="0.25">
      <c r="A382" s="414"/>
      <c r="C382" s="367"/>
      <c r="D382" s="1">
        <v>1</v>
      </c>
      <c r="L382" s="14"/>
      <c r="AB382" s="367"/>
      <c r="AC382" s="367"/>
      <c r="AD382" s="367"/>
      <c r="AE382" s="367"/>
    </row>
    <row r="383" spans="1:31" s="1" customFormat="1" ht="21" customHeight="1" x14ac:dyDescent="0.25">
      <c r="A383" s="414"/>
      <c r="C383" s="367"/>
      <c r="D383" s="1">
        <v>1</v>
      </c>
      <c r="L383" s="14"/>
      <c r="AB383" s="367"/>
      <c r="AC383" s="367"/>
      <c r="AD383" s="367"/>
      <c r="AE383" s="367"/>
    </row>
    <row r="384" spans="1:31" s="1" customFormat="1" ht="21" customHeight="1" x14ac:dyDescent="0.25">
      <c r="A384" s="414"/>
      <c r="C384" s="367"/>
      <c r="D384" s="1">
        <v>4</v>
      </c>
      <c r="L384" s="14"/>
      <c r="AB384" s="367"/>
      <c r="AC384" s="367"/>
      <c r="AD384" s="367"/>
      <c r="AE384" s="367"/>
    </row>
    <row r="385" spans="1:31" s="1" customFormat="1" ht="21" customHeight="1" x14ac:dyDescent="0.25">
      <c r="A385" s="414"/>
      <c r="C385" s="367"/>
      <c r="D385" s="1">
        <v>4</v>
      </c>
      <c r="L385" s="14"/>
      <c r="AB385" s="367"/>
      <c r="AC385" s="367"/>
      <c r="AD385" s="367"/>
      <c r="AE385" s="367"/>
    </row>
    <row r="386" spans="1:31" s="1" customFormat="1" ht="21" customHeight="1" x14ac:dyDescent="0.25">
      <c r="A386" s="414"/>
      <c r="C386" s="367"/>
      <c r="D386" s="1">
        <v>5</v>
      </c>
      <c r="L386" s="14"/>
      <c r="AB386" s="367"/>
      <c r="AC386" s="367"/>
      <c r="AD386" s="367"/>
      <c r="AE386" s="367"/>
    </row>
    <row r="387" spans="1:31" s="1" customFormat="1" ht="21" customHeight="1" x14ac:dyDescent="0.25">
      <c r="A387" s="414"/>
      <c r="C387" s="367"/>
      <c r="D387" s="1">
        <v>2</v>
      </c>
      <c r="L387" s="14"/>
      <c r="AB387" s="367"/>
      <c r="AC387" s="367"/>
      <c r="AD387" s="367"/>
      <c r="AE387" s="367"/>
    </row>
    <row r="388" spans="1:31" s="1" customFormat="1" ht="21" customHeight="1" x14ac:dyDescent="0.25">
      <c r="A388" s="414"/>
      <c r="C388" s="367"/>
      <c r="D388" s="1">
        <v>5</v>
      </c>
      <c r="L388" s="14"/>
      <c r="AB388" s="367"/>
      <c r="AC388" s="367"/>
      <c r="AD388" s="367"/>
      <c r="AE388" s="367"/>
    </row>
    <row r="389" spans="1:31" s="1" customFormat="1" ht="21" customHeight="1" x14ac:dyDescent="0.25">
      <c r="A389" s="414"/>
      <c r="C389" s="367"/>
      <c r="D389" s="1">
        <v>5</v>
      </c>
      <c r="L389" s="14"/>
      <c r="AB389" s="367"/>
      <c r="AC389" s="367"/>
      <c r="AD389" s="367"/>
      <c r="AE389" s="367"/>
    </row>
    <row r="390" spans="1:31" s="1" customFormat="1" ht="21" customHeight="1" x14ac:dyDescent="0.25">
      <c r="A390" s="414"/>
      <c r="C390" s="367"/>
      <c r="D390" s="1">
        <v>2</v>
      </c>
      <c r="L390" s="14"/>
      <c r="AB390" s="367"/>
      <c r="AC390" s="367"/>
      <c r="AD390" s="367"/>
      <c r="AE390" s="367"/>
    </row>
    <row r="391" spans="1:31" s="1" customFormat="1" ht="21" customHeight="1" x14ac:dyDescent="0.25">
      <c r="A391" s="414"/>
      <c r="C391" s="367"/>
      <c r="D391" s="1">
        <v>1</v>
      </c>
      <c r="L391" s="14"/>
      <c r="AB391" s="367"/>
      <c r="AC391" s="367"/>
      <c r="AD391" s="367"/>
      <c r="AE391" s="367"/>
    </row>
    <row r="392" spans="1:31" s="1" customFormat="1" ht="21" customHeight="1" x14ac:dyDescent="0.25">
      <c r="A392" s="414"/>
      <c r="C392" s="367"/>
      <c r="D392" s="1">
        <v>3</v>
      </c>
      <c r="L392" s="14"/>
      <c r="AB392" s="367"/>
      <c r="AC392" s="367"/>
      <c r="AD392" s="367"/>
      <c r="AE392" s="367"/>
    </row>
    <row r="393" spans="1:31" s="1" customFormat="1" ht="21" customHeight="1" x14ac:dyDescent="0.25">
      <c r="A393" s="414"/>
      <c r="C393" s="367"/>
      <c r="D393" s="1">
        <v>5</v>
      </c>
      <c r="L393" s="14"/>
      <c r="AB393" s="367"/>
      <c r="AC393" s="367"/>
      <c r="AD393" s="367"/>
      <c r="AE393" s="367"/>
    </row>
    <row r="394" spans="1:31" s="1" customFormat="1" ht="21" customHeight="1" x14ac:dyDescent="0.25">
      <c r="A394" s="414"/>
      <c r="C394" s="367"/>
      <c r="D394" s="1">
        <v>4</v>
      </c>
      <c r="L394" s="14"/>
      <c r="AB394" s="367"/>
      <c r="AC394" s="367"/>
      <c r="AD394" s="367"/>
      <c r="AE394" s="367"/>
    </row>
    <row r="395" spans="1:31" s="1" customFormat="1" ht="21" customHeight="1" x14ac:dyDescent="0.25">
      <c r="A395" s="414"/>
      <c r="C395" s="367"/>
      <c r="D395" s="1">
        <v>5</v>
      </c>
      <c r="L395" s="14"/>
      <c r="AB395" s="367"/>
      <c r="AC395" s="367"/>
      <c r="AD395" s="367"/>
      <c r="AE395" s="367"/>
    </row>
    <row r="396" spans="1:31" s="1" customFormat="1" ht="21" customHeight="1" x14ac:dyDescent="0.25">
      <c r="A396" s="414"/>
      <c r="C396" s="367"/>
      <c r="D396" s="1">
        <v>1</v>
      </c>
      <c r="L396" s="14"/>
      <c r="AB396" s="367"/>
      <c r="AC396" s="367"/>
      <c r="AD396" s="367"/>
      <c r="AE396" s="367"/>
    </row>
    <row r="397" spans="1:31" s="1" customFormat="1" ht="21" customHeight="1" x14ac:dyDescent="0.25">
      <c r="A397" s="414"/>
      <c r="C397" s="367"/>
      <c r="D397" s="1">
        <v>5</v>
      </c>
      <c r="L397" s="14"/>
      <c r="AB397" s="367"/>
      <c r="AC397" s="367"/>
      <c r="AD397" s="367"/>
      <c r="AE397" s="367"/>
    </row>
    <row r="398" spans="1:31" s="1" customFormat="1" ht="21" customHeight="1" x14ac:dyDescent="0.25">
      <c r="A398" s="414"/>
      <c r="C398" s="367"/>
      <c r="D398" s="1">
        <v>5</v>
      </c>
      <c r="L398" s="14"/>
      <c r="AB398" s="367"/>
      <c r="AC398" s="367"/>
      <c r="AD398" s="367"/>
      <c r="AE398" s="367"/>
    </row>
    <row r="399" spans="1:31" s="1" customFormat="1" ht="21" customHeight="1" x14ac:dyDescent="0.25">
      <c r="A399" s="414"/>
      <c r="C399" s="367"/>
      <c r="D399" s="1">
        <v>5</v>
      </c>
      <c r="L399" s="14"/>
      <c r="AB399" s="367"/>
      <c r="AC399" s="367"/>
      <c r="AD399" s="367"/>
      <c r="AE399" s="367"/>
    </row>
    <row r="400" spans="1:31" s="1" customFormat="1" ht="21" customHeight="1" x14ac:dyDescent="0.25">
      <c r="A400" s="414"/>
      <c r="C400" s="367"/>
      <c r="D400" s="1">
        <v>5</v>
      </c>
      <c r="L400" s="14"/>
      <c r="AB400" s="367"/>
      <c r="AC400" s="367"/>
      <c r="AD400" s="367"/>
      <c r="AE400" s="367"/>
    </row>
    <row r="401" spans="1:31" s="1" customFormat="1" ht="21" customHeight="1" x14ac:dyDescent="0.25">
      <c r="A401" s="414"/>
      <c r="C401" s="367"/>
      <c r="D401" s="1">
        <v>4</v>
      </c>
      <c r="L401" s="14"/>
      <c r="AB401" s="367"/>
      <c r="AC401" s="367"/>
      <c r="AD401" s="367"/>
      <c r="AE401" s="367"/>
    </row>
    <row r="402" spans="1:31" s="1" customFormat="1" ht="21" customHeight="1" x14ac:dyDescent="0.25">
      <c r="A402" s="414"/>
      <c r="C402" s="367"/>
      <c r="D402" s="1">
        <v>2</v>
      </c>
      <c r="L402" s="14"/>
      <c r="AB402" s="367"/>
      <c r="AC402" s="367"/>
      <c r="AD402" s="367"/>
      <c r="AE402" s="367"/>
    </row>
    <row r="403" spans="1:31" s="1" customFormat="1" ht="21" customHeight="1" x14ac:dyDescent="0.25">
      <c r="A403" s="414"/>
      <c r="C403" s="367"/>
      <c r="D403" s="1">
        <v>2</v>
      </c>
      <c r="L403" s="14"/>
      <c r="AB403" s="367"/>
      <c r="AC403" s="367"/>
      <c r="AD403" s="367"/>
      <c r="AE403" s="367"/>
    </row>
    <row r="404" spans="1:31" s="1" customFormat="1" ht="21" customHeight="1" x14ac:dyDescent="0.25">
      <c r="A404" s="414"/>
      <c r="C404" s="367"/>
      <c r="D404" s="1">
        <v>1</v>
      </c>
      <c r="L404" s="14"/>
      <c r="AB404" s="367"/>
      <c r="AC404" s="367"/>
      <c r="AD404" s="367"/>
      <c r="AE404" s="367"/>
    </row>
    <row r="405" spans="1:31" s="1" customFormat="1" ht="21" customHeight="1" x14ac:dyDescent="0.25">
      <c r="A405" s="414"/>
      <c r="C405" s="367"/>
      <c r="D405" s="1">
        <v>4</v>
      </c>
      <c r="L405" s="14"/>
      <c r="AB405" s="367"/>
      <c r="AC405" s="367"/>
      <c r="AD405" s="367"/>
      <c r="AE405" s="367"/>
    </row>
    <row r="406" spans="1:31" s="1" customFormat="1" ht="21" customHeight="1" x14ac:dyDescent="0.25">
      <c r="A406" s="414"/>
      <c r="C406" s="367"/>
      <c r="D406" s="1">
        <v>4</v>
      </c>
      <c r="L406" s="14"/>
      <c r="AB406" s="367"/>
      <c r="AC406" s="367"/>
      <c r="AD406" s="367"/>
      <c r="AE406" s="367"/>
    </row>
    <row r="407" spans="1:31" s="1" customFormat="1" ht="21" customHeight="1" x14ac:dyDescent="0.25">
      <c r="A407" s="414"/>
      <c r="C407" s="367"/>
      <c r="D407" s="1">
        <v>1</v>
      </c>
      <c r="L407" s="14"/>
      <c r="AB407" s="367"/>
      <c r="AC407" s="367"/>
      <c r="AD407" s="367"/>
      <c r="AE407" s="367"/>
    </row>
    <row r="408" spans="1:31" s="1" customFormat="1" ht="21" customHeight="1" x14ac:dyDescent="0.25">
      <c r="A408" s="414"/>
      <c r="C408" s="367"/>
      <c r="D408" s="1">
        <v>4</v>
      </c>
      <c r="L408" s="14"/>
      <c r="AB408" s="367"/>
      <c r="AC408" s="367"/>
      <c r="AD408" s="367"/>
      <c r="AE408" s="367"/>
    </row>
    <row r="409" spans="1:31" s="1" customFormat="1" ht="21" customHeight="1" x14ac:dyDescent="0.25">
      <c r="A409" s="414"/>
      <c r="C409" s="367"/>
      <c r="D409" s="1">
        <v>1</v>
      </c>
      <c r="L409" s="14"/>
      <c r="AB409" s="367"/>
      <c r="AC409" s="367"/>
      <c r="AD409" s="367"/>
      <c r="AE409" s="367"/>
    </row>
    <row r="410" spans="1:31" s="1" customFormat="1" ht="21" customHeight="1" x14ac:dyDescent="0.25">
      <c r="A410" s="414"/>
      <c r="C410" s="367"/>
      <c r="D410" s="1">
        <v>1</v>
      </c>
      <c r="L410" s="14"/>
      <c r="AB410" s="367"/>
      <c r="AC410" s="367"/>
      <c r="AD410" s="367"/>
      <c r="AE410" s="367"/>
    </row>
    <row r="411" spans="1:31" s="1" customFormat="1" ht="21" customHeight="1" x14ac:dyDescent="0.25">
      <c r="A411" s="414"/>
      <c r="C411" s="367"/>
      <c r="D411" s="1">
        <v>1</v>
      </c>
      <c r="L411" s="14"/>
      <c r="AB411" s="367"/>
      <c r="AC411" s="367"/>
      <c r="AD411" s="367"/>
      <c r="AE411" s="367"/>
    </row>
    <row r="412" spans="1:31" s="1" customFormat="1" ht="21" customHeight="1" x14ac:dyDescent="0.25">
      <c r="A412" s="414"/>
      <c r="C412" s="367"/>
      <c r="D412" s="1">
        <v>5</v>
      </c>
      <c r="L412" s="14"/>
      <c r="AB412" s="367"/>
      <c r="AC412" s="367"/>
      <c r="AD412" s="367"/>
      <c r="AE412" s="367"/>
    </row>
    <row r="413" spans="1:31" s="1" customFormat="1" ht="21" customHeight="1" x14ac:dyDescent="0.25">
      <c r="A413" s="414"/>
      <c r="C413" s="367"/>
      <c r="D413" s="1">
        <v>5</v>
      </c>
      <c r="L413" s="14"/>
      <c r="AB413" s="367"/>
      <c r="AC413" s="367"/>
      <c r="AD413" s="367"/>
      <c r="AE413" s="367"/>
    </row>
    <row r="414" spans="1:31" s="1" customFormat="1" ht="21" customHeight="1" x14ac:dyDescent="0.25">
      <c r="A414" s="414"/>
      <c r="C414" s="367"/>
      <c r="D414" s="1">
        <v>2</v>
      </c>
      <c r="L414" s="14"/>
      <c r="AB414" s="367"/>
      <c r="AC414" s="367"/>
      <c r="AD414" s="367"/>
      <c r="AE414" s="367"/>
    </row>
    <row r="415" spans="1:31" s="1" customFormat="1" ht="21" customHeight="1" x14ac:dyDescent="0.25">
      <c r="A415" s="414"/>
      <c r="C415" s="367"/>
      <c r="D415" s="1">
        <v>2</v>
      </c>
      <c r="L415" s="14"/>
      <c r="AB415" s="367"/>
      <c r="AC415" s="367"/>
      <c r="AD415" s="367"/>
      <c r="AE415" s="367"/>
    </row>
    <row r="416" spans="1:31" s="1" customFormat="1" ht="21" customHeight="1" x14ac:dyDescent="0.25">
      <c r="A416" s="414"/>
      <c r="C416" s="367"/>
      <c r="D416" s="1">
        <v>2</v>
      </c>
      <c r="L416" s="14"/>
      <c r="AB416" s="367"/>
      <c r="AC416" s="367"/>
      <c r="AD416" s="367"/>
      <c r="AE416" s="367"/>
    </row>
    <row r="417" spans="1:31" s="1" customFormat="1" ht="21" customHeight="1" x14ac:dyDescent="0.25">
      <c r="A417" s="414"/>
      <c r="C417" s="367"/>
      <c r="D417" s="1">
        <v>5</v>
      </c>
      <c r="L417" s="14"/>
      <c r="AB417" s="367"/>
      <c r="AC417" s="367"/>
      <c r="AD417" s="367"/>
      <c r="AE417" s="367"/>
    </row>
    <row r="418" spans="1:31" s="1" customFormat="1" ht="21" customHeight="1" x14ac:dyDescent="0.25">
      <c r="A418" s="414"/>
      <c r="C418" s="367"/>
      <c r="D418" s="1">
        <v>2</v>
      </c>
      <c r="L418" s="14"/>
      <c r="AB418" s="367"/>
      <c r="AC418" s="367"/>
      <c r="AD418" s="367"/>
      <c r="AE418" s="367"/>
    </row>
    <row r="419" spans="1:31" s="1" customFormat="1" ht="21" customHeight="1" x14ac:dyDescent="0.25">
      <c r="A419" s="414"/>
      <c r="C419" s="367"/>
      <c r="D419" s="1">
        <v>4</v>
      </c>
      <c r="L419" s="14"/>
      <c r="AB419" s="367"/>
      <c r="AC419" s="367"/>
      <c r="AD419" s="367"/>
      <c r="AE419" s="367"/>
    </row>
    <row r="420" spans="1:31" s="1" customFormat="1" ht="21" customHeight="1" x14ac:dyDescent="0.25">
      <c r="A420" s="414"/>
      <c r="C420" s="367"/>
      <c r="D420" s="1">
        <v>3</v>
      </c>
      <c r="L420" s="14"/>
      <c r="AB420" s="367"/>
      <c r="AC420" s="367"/>
      <c r="AD420" s="367"/>
      <c r="AE420" s="367"/>
    </row>
    <row r="421" spans="1:31" s="1" customFormat="1" ht="21" customHeight="1" x14ac:dyDescent="0.25">
      <c r="A421" s="414"/>
      <c r="C421" s="367"/>
      <c r="D421" s="1">
        <v>2</v>
      </c>
      <c r="L421" s="14"/>
      <c r="AB421" s="367"/>
      <c r="AC421" s="367"/>
      <c r="AD421" s="367"/>
      <c r="AE421" s="367"/>
    </row>
    <row r="422" spans="1:31" s="1" customFormat="1" ht="21" customHeight="1" x14ac:dyDescent="0.25">
      <c r="A422" s="414"/>
      <c r="C422" s="367"/>
      <c r="D422" s="1">
        <v>3</v>
      </c>
      <c r="L422" s="14"/>
      <c r="AB422" s="367"/>
      <c r="AC422" s="367"/>
      <c r="AD422" s="367"/>
      <c r="AE422" s="367"/>
    </row>
    <row r="423" spans="1:31" s="1" customFormat="1" ht="21" customHeight="1" x14ac:dyDescent="0.25">
      <c r="A423" s="414"/>
      <c r="C423" s="367"/>
      <c r="D423" s="1">
        <v>5</v>
      </c>
      <c r="L423" s="14"/>
      <c r="AB423" s="367"/>
      <c r="AC423" s="367"/>
      <c r="AD423" s="367"/>
      <c r="AE423" s="367"/>
    </row>
    <row r="424" spans="1:31" s="1" customFormat="1" ht="21" customHeight="1" x14ac:dyDescent="0.25">
      <c r="A424" s="414"/>
      <c r="C424" s="367"/>
      <c r="D424" s="1">
        <v>1</v>
      </c>
      <c r="L424" s="14"/>
      <c r="AB424" s="367"/>
      <c r="AC424" s="367"/>
      <c r="AD424" s="367"/>
      <c r="AE424" s="367"/>
    </row>
    <row r="425" spans="1:31" s="1" customFormat="1" ht="21" customHeight="1" x14ac:dyDescent="0.25">
      <c r="A425" s="414"/>
      <c r="C425" s="367"/>
      <c r="D425" s="1">
        <v>2</v>
      </c>
      <c r="L425" s="14"/>
      <c r="AB425" s="367"/>
      <c r="AC425" s="367"/>
      <c r="AD425" s="367"/>
      <c r="AE425" s="367"/>
    </row>
    <row r="426" spans="1:31" s="1" customFormat="1" ht="21" customHeight="1" x14ac:dyDescent="0.25">
      <c r="A426" s="414"/>
      <c r="C426" s="367"/>
      <c r="D426" s="1">
        <v>3</v>
      </c>
      <c r="L426" s="14"/>
      <c r="AB426" s="367"/>
      <c r="AC426" s="367"/>
      <c r="AD426" s="367"/>
      <c r="AE426" s="367"/>
    </row>
    <row r="427" spans="1:31" s="1" customFormat="1" ht="21" customHeight="1" x14ac:dyDescent="0.25">
      <c r="A427" s="414"/>
      <c r="C427" s="367"/>
      <c r="D427" s="1">
        <v>4</v>
      </c>
      <c r="L427" s="14"/>
      <c r="AB427" s="367"/>
      <c r="AC427" s="367"/>
      <c r="AD427" s="367"/>
      <c r="AE427" s="367"/>
    </row>
    <row r="428" spans="1:31" s="1" customFormat="1" ht="21" customHeight="1" x14ac:dyDescent="0.25">
      <c r="A428" s="414"/>
      <c r="C428" s="367"/>
      <c r="D428" s="1">
        <v>1</v>
      </c>
      <c r="L428" s="14"/>
      <c r="AB428" s="367"/>
      <c r="AC428" s="367"/>
      <c r="AD428" s="367"/>
      <c r="AE428" s="367"/>
    </row>
    <row r="429" spans="1:31" s="1" customFormat="1" ht="21" customHeight="1" x14ac:dyDescent="0.25">
      <c r="A429" s="414"/>
      <c r="C429" s="367"/>
      <c r="D429" s="1">
        <v>5</v>
      </c>
      <c r="L429" s="14"/>
      <c r="AB429" s="367"/>
      <c r="AC429" s="367"/>
      <c r="AD429" s="367"/>
      <c r="AE429" s="367"/>
    </row>
  </sheetData>
  <autoFilter ref="D26:F236" xr:uid="{6B3EB7BD-3D65-4947-8100-9477A8047029}"/>
  <mergeCells count="29">
    <mergeCell ref="S16:Z16"/>
    <mergeCell ref="N22:Q22"/>
    <mergeCell ref="A25:A26"/>
    <mergeCell ref="B25:C25"/>
    <mergeCell ref="D25:J25"/>
    <mergeCell ref="L25:Z25"/>
    <mergeCell ref="N21:Q21"/>
    <mergeCell ref="N17:Q17"/>
    <mergeCell ref="S17:Z18"/>
    <mergeCell ref="N18:Q18"/>
    <mergeCell ref="N19:Q19"/>
    <mergeCell ref="S19:Z20"/>
    <mergeCell ref="N20:Q20"/>
    <mergeCell ref="L13:M13"/>
    <mergeCell ref="N13:Z13"/>
    <mergeCell ref="L14:M14"/>
    <mergeCell ref="M8:Z8"/>
    <mergeCell ref="B2:J2"/>
    <mergeCell ref="L2:Z2"/>
    <mergeCell ref="M5:Z5"/>
    <mergeCell ref="M6:Z6"/>
    <mergeCell ref="M7:Z7"/>
    <mergeCell ref="L10:M10"/>
    <mergeCell ref="N10:Z10"/>
    <mergeCell ref="L11:M11"/>
    <mergeCell ref="N11:Z11"/>
    <mergeCell ref="L12:M12"/>
    <mergeCell ref="N12:Z12"/>
    <mergeCell ref="N14:Z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X162 E93:F93 E94:F94 X79:Y79 Z162" formula="1"/>
    <ignoredError sqref="H4 C20:C2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BF18-F453-48C0-9223-7D14FCBF9C5D}">
  <dimension ref="A1:AE236"/>
  <sheetViews>
    <sheetView showGridLines="0" topLeftCell="A73" zoomScale="115" zoomScaleNormal="115" workbookViewId="0">
      <selection activeCell="F90" sqref="F90"/>
    </sheetView>
  </sheetViews>
  <sheetFormatPr defaultColWidth="9.140625" defaultRowHeight="21" customHeight="1" x14ac:dyDescent="0.25"/>
  <cols>
    <col min="1" max="1" width="7.42578125" style="11" customWidth="1"/>
    <col min="2" max="2" width="4" style="6" customWidth="1"/>
    <col min="3" max="3" width="51.5703125" style="7" customWidth="1"/>
    <col min="4" max="4" width="9.140625" style="6"/>
    <col min="5" max="5" width="14" style="6" customWidth="1"/>
    <col min="6" max="6" width="19.42578125" style="6" customWidth="1"/>
    <col min="7" max="7" width="11.42578125" style="6" customWidth="1"/>
    <col min="8" max="8" width="11.42578125" style="6" bestFit="1" customWidth="1"/>
    <col min="9" max="10" width="11.42578125" style="6" customWidth="1"/>
    <col min="11" max="11" width="1.5703125" style="6" customWidth="1"/>
    <col min="12" max="12" width="8.7109375" style="12" bestFit="1" customWidth="1"/>
    <col min="13" max="14" width="8.5703125" style="6" customWidth="1"/>
    <col min="15" max="15" width="13" style="6" customWidth="1"/>
    <col min="16" max="26" width="10.5703125" style="6" customWidth="1"/>
    <col min="27" max="27" width="11.42578125" style="6" customWidth="1"/>
    <col min="28" max="16384" width="9.140625" style="7"/>
  </cols>
  <sheetData>
    <row r="1" spans="1:27" s="6" customFormat="1" ht="9" customHeight="1" x14ac:dyDescent="0.25">
      <c r="A1" s="11"/>
      <c r="C1" s="7"/>
      <c r="L1" s="12"/>
    </row>
    <row r="2" spans="1:27" customFormat="1" ht="23.25" customHeight="1" x14ac:dyDescent="0.3">
      <c r="A2" s="13"/>
      <c r="B2" s="423" t="s">
        <v>238</v>
      </c>
      <c r="C2" s="424"/>
      <c r="D2" s="424"/>
      <c r="E2" s="424"/>
      <c r="F2" s="424"/>
      <c r="G2" s="424"/>
      <c r="H2" s="424"/>
      <c r="I2" s="424"/>
      <c r="J2" s="424"/>
      <c r="K2" s="1"/>
      <c r="L2" s="424" t="s">
        <v>239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1"/>
    </row>
    <row r="3" spans="1:27" customFormat="1" ht="9" customHeight="1" thickBot="1" x14ac:dyDescent="0.3">
      <c r="A3" s="13"/>
      <c r="B3" s="1"/>
      <c r="D3" s="1"/>
      <c r="E3" s="1"/>
      <c r="F3" s="1"/>
      <c r="G3" s="1"/>
      <c r="H3" s="1"/>
      <c r="I3" s="1"/>
      <c r="J3" s="1"/>
      <c r="K3" s="1"/>
      <c r="L3" s="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6" customFormat="1" ht="21" customHeight="1" thickBot="1" x14ac:dyDescent="0.3">
      <c r="A4" s="11"/>
      <c r="B4" s="313"/>
      <c r="C4" s="315" t="s">
        <v>240</v>
      </c>
      <c r="D4" s="73" t="s">
        <v>4</v>
      </c>
      <c r="E4" s="73" t="s">
        <v>5</v>
      </c>
      <c r="F4" s="73"/>
      <c r="G4" s="73" t="s">
        <v>241</v>
      </c>
      <c r="H4" s="19" t="s">
        <v>519</v>
      </c>
      <c r="I4" s="19" t="s">
        <v>243</v>
      </c>
      <c r="J4" s="20"/>
      <c r="K4" s="21"/>
      <c r="L4" s="22" t="s">
        <v>244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s="6" customFormat="1" ht="21" customHeight="1" x14ac:dyDescent="0.25">
      <c r="A5" s="11"/>
      <c r="B5" s="24"/>
      <c r="C5" s="25" t="s">
        <v>245</v>
      </c>
      <c r="D5" s="26"/>
      <c r="E5" s="26" t="s">
        <v>246</v>
      </c>
      <c r="F5" s="26"/>
      <c r="G5" s="27">
        <f>+SUM(H27:H234)</f>
        <v>164388</v>
      </c>
      <c r="H5" s="393">
        <f>+'RVK AT20'!H5</f>
        <v>74563</v>
      </c>
      <c r="I5" s="29"/>
      <c r="J5" s="30"/>
      <c r="L5" s="31"/>
      <c r="M5" s="438" t="s">
        <v>247</v>
      </c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40"/>
    </row>
    <row r="6" spans="1:27" s="6" customFormat="1" ht="21" customHeight="1" x14ac:dyDescent="0.25">
      <c r="A6" s="11"/>
      <c r="B6" s="32"/>
      <c r="C6" s="33" t="s">
        <v>248</v>
      </c>
      <c r="D6" s="34">
        <v>1</v>
      </c>
      <c r="E6" s="34" t="s">
        <v>246</v>
      </c>
      <c r="F6" s="34"/>
      <c r="G6" s="35">
        <f>+SUMIF(D$27:D$234,"1",I$27:I$234)</f>
        <v>88600</v>
      </c>
      <c r="H6" s="35">
        <f>+'RVK AT20'!H6</f>
        <v>152816</v>
      </c>
      <c r="I6" s="36">
        <f>+G6/H6-1</f>
        <v>-0.4202177782431159</v>
      </c>
      <c r="J6" s="37"/>
      <c r="K6" s="38"/>
      <c r="L6" s="39"/>
      <c r="M6" s="441" t="s">
        <v>249</v>
      </c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3"/>
    </row>
    <row r="7" spans="1:27" s="6" customFormat="1" ht="21" customHeight="1" x14ac:dyDescent="0.25">
      <c r="A7" s="11"/>
      <c r="B7" s="40"/>
      <c r="C7" t="s">
        <v>250</v>
      </c>
      <c r="E7" s="41" t="s">
        <v>246</v>
      </c>
      <c r="F7" s="41"/>
      <c r="G7" s="42">
        <f>+G8+G9</f>
        <v>982083</v>
      </c>
      <c r="H7" s="42">
        <f>+'RVK AT20'!H7</f>
        <v>929187</v>
      </c>
      <c r="I7" s="43">
        <f t="shared" ref="I7" si="0">+G7/H7-1</f>
        <v>5.6927184732459724E-2</v>
      </c>
      <c r="J7" s="44"/>
      <c r="K7" s="45"/>
      <c r="L7" s="46"/>
      <c r="M7" s="441" t="s">
        <v>251</v>
      </c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3"/>
    </row>
    <row r="8" spans="1:27" s="6" customFormat="1" ht="21" customHeight="1" thickBot="1" x14ac:dyDescent="0.3">
      <c r="A8" s="11"/>
      <c r="B8" s="47"/>
      <c r="C8" s="48" t="s">
        <v>252</v>
      </c>
      <c r="D8" s="41">
        <v>1</v>
      </c>
      <c r="E8" s="41" t="s">
        <v>246</v>
      </c>
      <c r="F8" s="41"/>
      <c r="G8" s="155">
        <f>+SUMIF(D$27:D$234,"1",J$27:J$234)</f>
        <v>283694</v>
      </c>
      <c r="H8" s="155">
        <f>+'RVK AT20'!H8</f>
        <v>315128</v>
      </c>
      <c r="I8" s="151">
        <f>+G8/H8-1</f>
        <v>-9.9749942880353326E-2</v>
      </c>
      <c r="J8" s="50"/>
      <c r="K8" s="38"/>
      <c r="L8" s="51"/>
      <c r="M8" s="434" t="s">
        <v>253</v>
      </c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6"/>
    </row>
    <row r="9" spans="1:27" s="6" customFormat="1" ht="21" customHeight="1" thickBot="1" x14ac:dyDescent="0.3">
      <c r="A9" s="11"/>
      <c r="B9" s="47"/>
      <c r="C9" s="48" t="s">
        <v>254</v>
      </c>
      <c r="D9" s="41">
        <v>2</v>
      </c>
      <c r="E9" s="41" t="s">
        <v>246</v>
      </c>
      <c r="F9" s="41"/>
      <c r="G9" s="155">
        <f>+SUMIF(D$27:D$234,"2",J$27:J$234)</f>
        <v>698389</v>
      </c>
      <c r="H9" s="155">
        <f>+'RVK AT20'!H9</f>
        <v>614059</v>
      </c>
      <c r="I9" s="43">
        <f t="shared" ref="I9:I14" si="1">+G9/H9-1</f>
        <v>0.13733208046783774</v>
      </c>
      <c r="J9" s="44"/>
      <c r="K9" s="45"/>
      <c r="L9" s="22" t="s">
        <v>255</v>
      </c>
      <c r="M9" s="1"/>
      <c r="N9" s="1"/>
      <c r="O9" s="1"/>
      <c r="P9" s="1"/>
      <c r="Q9" s="1"/>
      <c r="R9" s="1"/>
      <c r="S9" s="1"/>
      <c r="T9" s="23"/>
      <c r="U9" s="1"/>
      <c r="V9" s="1"/>
      <c r="W9" s="1"/>
      <c r="X9" s="1"/>
      <c r="Y9" s="1"/>
      <c r="Z9" s="1"/>
    </row>
    <row r="10" spans="1:27" s="6" customFormat="1" ht="21" customHeight="1" x14ac:dyDescent="0.25">
      <c r="A10" s="11"/>
      <c r="B10" s="47"/>
      <c r="C10" s="52" t="s">
        <v>256</v>
      </c>
      <c r="D10" s="41">
        <v>3</v>
      </c>
      <c r="E10" s="41" t="s">
        <v>246</v>
      </c>
      <c r="F10" s="41"/>
      <c r="G10" s="49">
        <f>+SUMIF(D$27:D$234,"3",G$27:G$234)</f>
        <v>320990</v>
      </c>
      <c r="H10" s="49">
        <f>+'RVK AT20'!H10</f>
        <v>361100</v>
      </c>
      <c r="I10" s="43">
        <f t="shared" si="1"/>
        <v>-0.11107726391581274</v>
      </c>
      <c r="J10" s="50"/>
      <c r="K10" s="38"/>
      <c r="L10" s="444" t="s">
        <v>257</v>
      </c>
      <c r="M10" s="445"/>
      <c r="N10" s="446" t="s">
        <v>258</v>
      </c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8"/>
    </row>
    <row r="11" spans="1:27" s="6" customFormat="1" ht="21" customHeight="1" x14ac:dyDescent="0.25">
      <c r="A11" s="11"/>
      <c r="B11" s="53"/>
      <c r="C11" s="372" t="s">
        <v>310</v>
      </c>
      <c r="D11" s="1"/>
      <c r="E11" s="41" t="s">
        <v>246</v>
      </c>
      <c r="F11" s="54"/>
      <c r="G11" s="49">
        <f>+G12+G13</f>
        <v>1611646</v>
      </c>
      <c r="H11" s="49">
        <f>+'RVK AT20'!H11</f>
        <v>1753796</v>
      </c>
      <c r="I11" s="43">
        <f t="shared" si="1"/>
        <v>-8.1052756420929239E-2</v>
      </c>
      <c r="J11" s="50"/>
      <c r="K11" s="38"/>
      <c r="L11" s="427" t="s">
        <v>260</v>
      </c>
      <c r="M11" s="428"/>
      <c r="N11" s="429" t="s">
        <v>261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1:27" s="6" customFormat="1" ht="21" customHeight="1" x14ac:dyDescent="0.25">
      <c r="A12" s="11"/>
      <c r="B12" s="53"/>
      <c r="C12" s="48" t="s">
        <v>262</v>
      </c>
      <c r="D12" s="54">
        <v>4</v>
      </c>
      <c r="E12" s="41" t="s">
        <v>246</v>
      </c>
      <c r="F12" s="54"/>
      <c r="G12" s="155">
        <f>+SUMIF(D$27:D$234,"4",G$27:G$234)</f>
        <v>926646</v>
      </c>
      <c r="H12" s="155">
        <f>+'RVK AT20'!H12</f>
        <v>1029796</v>
      </c>
      <c r="I12" s="43">
        <f t="shared" si="1"/>
        <v>-0.10016546966583673</v>
      </c>
      <c r="J12" s="55"/>
      <c r="L12" s="427" t="s">
        <v>263</v>
      </c>
      <c r="M12" s="428"/>
      <c r="N12" s="449" t="s">
        <v>264</v>
      </c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1"/>
    </row>
    <row r="13" spans="1:27" s="6" customFormat="1" ht="21" customHeight="1" x14ac:dyDescent="0.25">
      <c r="A13" s="11"/>
      <c r="B13" s="56"/>
      <c r="C13" s="57" t="s">
        <v>265</v>
      </c>
      <c r="D13" s="58">
        <v>5</v>
      </c>
      <c r="E13" s="59" t="s">
        <v>246</v>
      </c>
      <c r="F13" s="58"/>
      <c r="G13" s="159">
        <f>+SUMIF(D$27:D$234,"5",G$27:G$234)</f>
        <v>685000</v>
      </c>
      <c r="H13" s="159">
        <f>+'RVK AT20'!H13</f>
        <v>724000</v>
      </c>
      <c r="I13" s="394">
        <f t="shared" si="1"/>
        <v>-5.3867403314917128E-2</v>
      </c>
      <c r="J13" s="62"/>
      <c r="L13" s="427" t="s">
        <v>266</v>
      </c>
      <c r="M13" s="428"/>
      <c r="N13" s="429" t="s">
        <v>267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1:27" s="6" customFormat="1" ht="21" customHeight="1" thickBot="1" x14ac:dyDescent="0.3">
      <c r="A14" s="11"/>
      <c r="B14" s="63"/>
      <c r="C14" s="64" t="s">
        <v>268</v>
      </c>
      <c r="D14" s="65"/>
      <c r="E14" s="65"/>
      <c r="F14" s="66"/>
      <c r="G14" s="67">
        <f>G7+SUM(G10:G11)</f>
        <v>2914719</v>
      </c>
      <c r="H14" s="395">
        <f>+'RVK AT20'!H14</f>
        <v>3044083</v>
      </c>
      <c r="I14" s="396">
        <f t="shared" si="1"/>
        <v>-4.2496870157613942E-2</v>
      </c>
      <c r="J14" s="69"/>
      <c r="L14" s="432" t="s">
        <v>269</v>
      </c>
      <c r="M14" s="433"/>
      <c r="N14" s="452" t="s">
        <v>270</v>
      </c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4"/>
    </row>
    <row r="15" spans="1:27" s="6" customFormat="1" ht="9" customHeight="1" thickBot="1" x14ac:dyDescent="0.3">
      <c r="A15" s="11"/>
      <c r="C15" s="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s="6" customFormat="1" ht="21" customHeight="1" thickBot="1" x14ac:dyDescent="0.3">
      <c r="A16" s="11"/>
      <c r="B16" s="384"/>
      <c r="C16" s="385" t="s">
        <v>271</v>
      </c>
      <c r="D16" s="73"/>
      <c r="E16" s="73" t="s">
        <v>5</v>
      </c>
      <c r="F16" s="73"/>
      <c r="G16" s="73" t="s">
        <v>241</v>
      </c>
      <c r="H16" s="19">
        <v>2020</v>
      </c>
      <c r="I16" s="19" t="s">
        <v>243</v>
      </c>
      <c r="J16" s="20"/>
      <c r="L16" s="14"/>
      <c r="M16" s="22" t="s">
        <v>274</v>
      </c>
      <c r="N16" s="1"/>
      <c r="O16" s="1"/>
      <c r="P16" s="1"/>
      <c r="Q16" s="1"/>
      <c r="R16" s="1"/>
      <c r="S16" s="455" t="s">
        <v>275</v>
      </c>
      <c r="T16" s="455"/>
      <c r="U16" s="455"/>
      <c r="V16" s="455"/>
      <c r="W16" s="455"/>
      <c r="X16" s="455"/>
      <c r="Y16" s="455"/>
      <c r="Z16" s="455"/>
    </row>
    <row r="17" spans="1:31" s="6" customFormat="1" ht="21" customHeight="1" x14ac:dyDescent="0.25">
      <c r="A17" s="11"/>
      <c r="B17" s="399"/>
      <c r="C17" s="400" t="s">
        <v>539</v>
      </c>
      <c r="D17" s="401"/>
      <c r="E17" s="401"/>
      <c r="F17" s="401"/>
      <c r="G17" s="402"/>
      <c r="H17" s="403"/>
      <c r="I17" s="404"/>
      <c r="J17" s="405"/>
      <c r="L17" s="14"/>
      <c r="M17" s="79" t="s">
        <v>4</v>
      </c>
      <c r="N17" s="462" t="s">
        <v>278</v>
      </c>
      <c r="O17" s="463"/>
      <c r="P17" s="463"/>
      <c r="Q17" s="464"/>
      <c r="R17" s="23"/>
      <c r="S17" s="455" t="s">
        <v>279</v>
      </c>
      <c r="T17" s="455"/>
      <c r="U17" s="455"/>
      <c r="V17" s="455"/>
      <c r="W17" s="455"/>
      <c r="X17" s="455"/>
      <c r="Y17" s="455"/>
      <c r="Z17" s="455"/>
    </row>
    <row r="18" spans="1:31" s="6" customFormat="1" ht="21" customHeight="1" x14ac:dyDescent="0.25">
      <c r="A18" s="11"/>
      <c r="B18" s="406"/>
      <c r="C18" s="407" t="s">
        <v>538</v>
      </c>
      <c r="D18" s="408"/>
      <c r="E18" s="408"/>
      <c r="F18" s="408"/>
      <c r="G18" s="409"/>
      <c r="H18" s="403"/>
      <c r="I18" s="410"/>
      <c r="J18" s="411"/>
      <c r="L18" s="14"/>
      <c r="M18" s="46">
        <v>1</v>
      </c>
      <c r="N18" s="465" t="s">
        <v>536</v>
      </c>
      <c r="O18" s="465"/>
      <c r="P18" s="465"/>
      <c r="Q18" s="466"/>
      <c r="R18" s="23"/>
      <c r="S18" s="455"/>
      <c r="T18" s="455"/>
      <c r="U18" s="455"/>
      <c r="V18" s="455"/>
      <c r="W18" s="455"/>
      <c r="X18" s="455"/>
      <c r="Y18" s="455"/>
      <c r="Z18" s="455"/>
    </row>
    <row r="19" spans="1:31" s="6" customFormat="1" ht="21" customHeight="1" x14ac:dyDescent="0.25">
      <c r="A19" s="11"/>
      <c r="B19" s="40"/>
      <c r="C19" s="81">
        <v>2022</v>
      </c>
      <c r="E19" s="6" t="s">
        <v>246</v>
      </c>
      <c r="G19" s="49">
        <f>+SUM(X$27:X$234)</f>
        <v>33500</v>
      </c>
      <c r="H19" s="155">
        <f>+'RVK AT20'!H19</f>
        <v>38000</v>
      </c>
      <c r="I19" s="43">
        <f t="shared" ref="I19:I23" si="2">+G19/H19-1</f>
        <v>-0.11842105263157898</v>
      </c>
      <c r="J19" s="55"/>
      <c r="L19" s="14"/>
      <c r="M19" s="46">
        <v>2</v>
      </c>
      <c r="N19" s="460" t="s">
        <v>537</v>
      </c>
      <c r="O19" s="460"/>
      <c r="P19" s="460"/>
      <c r="Q19" s="461"/>
      <c r="R19" s="23"/>
      <c r="S19" s="467" t="s">
        <v>282</v>
      </c>
      <c r="T19" s="467"/>
      <c r="U19" s="467"/>
      <c r="V19" s="467"/>
      <c r="W19" s="467"/>
      <c r="X19" s="467"/>
      <c r="Y19" s="467"/>
      <c r="Z19" s="467"/>
    </row>
    <row r="20" spans="1:31" s="6" customFormat="1" ht="21" customHeight="1" x14ac:dyDescent="0.25">
      <c r="A20" s="11"/>
      <c r="B20" s="47"/>
      <c r="C20" s="80" t="s">
        <v>283</v>
      </c>
      <c r="D20" s="41"/>
      <c r="E20" s="41" t="s">
        <v>246</v>
      </c>
      <c r="F20" s="41"/>
      <c r="G20" s="49">
        <f>+SUM(Y$27:Y$234)</f>
        <v>39816.666666666664</v>
      </c>
      <c r="H20" s="155">
        <f>+'RVK AT20'!H20</f>
        <v>71016.666666666657</v>
      </c>
      <c r="I20" s="43">
        <f t="shared" si="2"/>
        <v>-0.43933348979112885</v>
      </c>
      <c r="J20" s="55"/>
      <c r="L20" s="14"/>
      <c r="M20" s="46">
        <v>3</v>
      </c>
      <c r="N20" s="460" t="s">
        <v>284</v>
      </c>
      <c r="O20" s="460"/>
      <c r="P20" s="460"/>
      <c r="Q20" s="461"/>
      <c r="R20" s="23"/>
      <c r="S20" s="467"/>
      <c r="T20" s="467"/>
      <c r="U20" s="467"/>
      <c r="V20" s="467"/>
      <c r="W20" s="467"/>
      <c r="X20" s="467"/>
      <c r="Y20" s="467"/>
      <c r="Z20" s="467"/>
    </row>
    <row r="21" spans="1:31" ht="21" customHeight="1" x14ac:dyDescent="0.25">
      <c r="B21" s="83"/>
      <c r="C21" s="84" t="s">
        <v>285</v>
      </c>
      <c r="D21" s="59"/>
      <c r="E21" s="59" t="s">
        <v>246</v>
      </c>
      <c r="F21" s="59"/>
      <c r="G21" s="60">
        <f>+SUM(Z$27:Z$234)</f>
        <v>103717.33333333333</v>
      </c>
      <c r="H21" s="159">
        <f>+'RVK AT20'!H21</f>
        <v>99380.333325868691</v>
      </c>
      <c r="I21" s="43">
        <f t="shared" si="2"/>
        <v>4.3640425246347148E-2</v>
      </c>
      <c r="J21" s="62"/>
      <c r="L21" s="14"/>
      <c r="M21" s="46">
        <v>4</v>
      </c>
      <c r="N21" s="460" t="s">
        <v>259</v>
      </c>
      <c r="O21" s="460"/>
      <c r="P21" s="460"/>
      <c r="Q21" s="461"/>
      <c r="R21" s="23"/>
      <c r="S21" s="1"/>
      <c r="T21" s="1"/>
      <c r="U21" s="86"/>
      <c r="V21" s="86"/>
      <c r="W21" s="86"/>
      <c r="X21" s="86"/>
      <c r="Y21" s="86"/>
      <c r="Z21" s="86"/>
    </row>
    <row r="22" spans="1:31" ht="21" customHeight="1" thickBot="1" x14ac:dyDescent="0.3">
      <c r="B22" s="87"/>
      <c r="C22" s="88" t="s">
        <v>286</v>
      </c>
      <c r="D22" s="89"/>
      <c r="E22" s="89"/>
      <c r="F22" s="59"/>
      <c r="G22" s="90">
        <f>+SUM(G17:G21)</f>
        <v>177034</v>
      </c>
      <c r="H22" s="90">
        <f>+SUM(H17:H21)</f>
        <v>208396.99999253533</v>
      </c>
      <c r="I22" s="398">
        <f t="shared" si="2"/>
        <v>-0.15049640826719546</v>
      </c>
      <c r="J22" s="92"/>
      <c r="L22" s="14"/>
      <c r="M22" s="93">
        <v>5</v>
      </c>
      <c r="N22" s="456" t="s">
        <v>287</v>
      </c>
      <c r="O22" s="456"/>
      <c r="P22" s="456"/>
      <c r="Q22" s="457"/>
      <c r="R22" s="23"/>
      <c r="S22" s="23"/>
      <c r="T22" s="1"/>
      <c r="U22" s="86"/>
      <c r="V22" s="86"/>
      <c r="W22" s="86"/>
      <c r="X22" s="86"/>
      <c r="Y22" s="86"/>
      <c r="Z22" s="86"/>
    </row>
    <row r="23" spans="1:31" ht="21" customHeight="1" thickBot="1" x14ac:dyDescent="0.3">
      <c r="B23" s="94"/>
      <c r="C23" s="95" t="s">
        <v>288</v>
      </c>
      <c r="D23" s="96"/>
      <c r="E23" s="96"/>
      <c r="F23" s="66"/>
      <c r="G23" s="67">
        <f>+G22/4.5</f>
        <v>39340.888888888891</v>
      </c>
      <c r="H23" s="67">
        <f>+H22/3</f>
        <v>69465.66666417844</v>
      </c>
      <c r="I23" s="163">
        <f t="shared" si="2"/>
        <v>-0.43366427217813031</v>
      </c>
      <c r="J23" s="69"/>
      <c r="L23" s="14"/>
      <c r="M23" s="1"/>
      <c r="N23" s="1"/>
      <c r="O23" s="1"/>
      <c r="P23" s="1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31" ht="9" customHeight="1" x14ac:dyDescent="0.25"/>
    <row r="25" spans="1:31" s="99" customFormat="1" ht="21" customHeight="1" x14ac:dyDescent="0.3">
      <c r="A25" s="97"/>
      <c r="B25" s="352"/>
      <c r="C25" s="352"/>
      <c r="D25" s="349" t="s">
        <v>1</v>
      </c>
      <c r="E25" s="350"/>
      <c r="F25" s="350"/>
      <c r="G25" s="350"/>
      <c r="H25" s="350"/>
      <c r="I25" s="350"/>
      <c r="J25" s="351"/>
      <c r="K25" s="98"/>
      <c r="L25" s="423" t="s">
        <v>289</v>
      </c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6"/>
      <c r="AB25" s="7"/>
      <c r="AC25" s="7"/>
      <c r="AD25" s="7"/>
      <c r="AE25" s="7"/>
    </row>
    <row r="26" spans="1:31" s="107" customFormat="1" ht="21" customHeight="1" x14ac:dyDescent="0.25">
      <c r="A26" s="100"/>
      <c r="B26" s="386" t="s">
        <v>2</v>
      </c>
      <c r="C26" s="387" t="s">
        <v>3</v>
      </c>
      <c r="D26" s="386" t="s">
        <v>4</v>
      </c>
      <c r="E26" s="386" t="s">
        <v>5</v>
      </c>
      <c r="F26" s="386"/>
      <c r="G26" s="386" t="s">
        <v>290</v>
      </c>
      <c r="H26" s="386" t="s">
        <v>291</v>
      </c>
      <c r="I26" s="386" t="s">
        <v>292</v>
      </c>
      <c r="J26" s="386" t="s">
        <v>293</v>
      </c>
      <c r="K26" s="388"/>
      <c r="L26" s="389" t="s">
        <v>257</v>
      </c>
      <c r="M26" s="389" t="s">
        <v>294</v>
      </c>
      <c r="N26" s="389" t="s">
        <v>263</v>
      </c>
      <c r="O26" s="389" t="s">
        <v>266</v>
      </c>
      <c r="P26" s="386" t="s">
        <v>269</v>
      </c>
      <c r="Q26" s="390" t="s">
        <v>295</v>
      </c>
      <c r="R26" s="390" t="s">
        <v>296</v>
      </c>
      <c r="S26" s="390" t="s">
        <v>297</v>
      </c>
      <c r="T26" s="390" t="s">
        <v>298</v>
      </c>
      <c r="U26" s="390" t="s">
        <v>299</v>
      </c>
      <c r="V26" s="390" t="s">
        <v>300</v>
      </c>
      <c r="W26" s="390" t="s">
        <v>301</v>
      </c>
      <c r="X26" s="390" t="s">
        <v>302</v>
      </c>
      <c r="Y26" s="390" t="s">
        <v>303</v>
      </c>
      <c r="Z26" s="391" t="s">
        <v>304</v>
      </c>
      <c r="AA26" s="6"/>
      <c r="AB26" s="7"/>
      <c r="AC26" s="7"/>
      <c r="AD26" s="7"/>
      <c r="AE26" s="7"/>
    </row>
    <row r="27" spans="1:31" ht="21" customHeight="1" x14ac:dyDescent="0.25">
      <c r="A27" s="397"/>
      <c r="B27" s="382"/>
      <c r="C27" s="7" t="str">
        <f>+'RVK SVÆDI'!C4</f>
        <v>Vesturbugt</v>
      </c>
      <c r="D27" s="8">
        <f>+'RVK SVÆDI'!D4</f>
        <v>2</v>
      </c>
      <c r="E27" s="6" t="str">
        <f>+'RVK SVÆDI'!E4</f>
        <v>Vesturbær</v>
      </c>
      <c r="F27" s="6" t="str">
        <f>+'RVK SVÆDI'!F4</f>
        <v>Vesturbæjarskóli</v>
      </c>
      <c r="G27" s="108">
        <v>1700</v>
      </c>
      <c r="H27" s="108">
        <v>0</v>
      </c>
      <c r="I27" s="108">
        <v>0</v>
      </c>
      <c r="J27" s="109">
        <f t="shared" ref="J27:J129" si="3">+IF(D27=1,(G27-H27-I27),IF(D27=2,(G27-H27-I27),0))</f>
        <v>1700</v>
      </c>
      <c r="L27" s="110" t="s">
        <v>305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08">
        <f t="shared" ref="V27:V33" si="4">Q27*($G27-$H27)</f>
        <v>0</v>
      </c>
      <c r="W27" s="108">
        <f t="shared" ref="W27:W33" si="5">R27*($G27-$H27)-V27</f>
        <v>0</v>
      </c>
      <c r="X27" s="108">
        <v>0</v>
      </c>
      <c r="Y27" s="108">
        <v>0</v>
      </c>
      <c r="Z27" s="108">
        <v>0</v>
      </c>
    </row>
    <row r="28" spans="1:31" ht="21" customHeight="1" x14ac:dyDescent="0.25">
      <c r="A28" s="397"/>
      <c r="B28" s="382"/>
      <c r="C28" s="7" t="str">
        <f>+'RVK SVÆDI'!C5</f>
        <v>Héðinsreitur S11</v>
      </c>
      <c r="D28" s="8">
        <f>+'RVK SVÆDI'!D5</f>
        <v>1</v>
      </c>
      <c r="E28" s="6" t="str">
        <f>+'RVK SVÆDI'!E5</f>
        <v>Vesturbær</v>
      </c>
      <c r="F28" s="6" t="str">
        <f>+'RVK SVÆDI'!F5</f>
        <v>Vesturbæjarskóli</v>
      </c>
      <c r="G28" s="108">
        <v>8000</v>
      </c>
      <c r="H28" s="108">
        <v>8000</v>
      </c>
      <c r="I28" s="108">
        <v>0</v>
      </c>
      <c r="J28" s="109">
        <f t="shared" si="3"/>
        <v>0</v>
      </c>
      <c r="L28" s="112">
        <v>2.5</v>
      </c>
      <c r="M28" s="6">
        <f t="shared" ref="M28:M97" si="6">+L28*12</f>
        <v>30</v>
      </c>
      <c r="N28" s="112">
        <v>-6</v>
      </c>
      <c r="O28" s="112">
        <v>0</v>
      </c>
      <c r="P28" s="6">
        <f t="shared" ref="P28:P48" si="7">+N28+O28+18</f>
        <v>12</v>
      </c>
      <c r="Q28" s="113">
        <f t="shared" ref="Q28:U30" si="8">IFERROR(IF(AND((Q$236-$P28)/$M28&gt;0,(Q$236-$P28)/$M28&lt;1),(Q$236-$P28)/$M28,IF((Q$236-$P28)/$M28&gt;0,1,0)),0)</f>
        <v>0</v>
      </c>
      <c r="R28" s="113">
        <f t="shared" si="8"/>
        <v>0.2</v>
      </c>
      <c r="S28" s="113">
        <f t="shared" si="8"/>
        <v>0.6</v>
      </c>
      <c r="T28" s="113">
        <f t="shared" si="8"/>
        <v>1</v>
      </c>
      <c r="U28" s="113">
        <f t="shared" si="8"/>
        <v>1</v>
      </c>
      <c r="V28" s="114">
        <f t="shared" si="4"/>
        <v>0</v>
      </c>
      <c r="W28" s="114">
        <f t="shared" si="5"/>
        <v>0</v>
      </c>
      <c r="X28" s="114">
        <f t="shared" ref="X28:X33" si="9">S28*($G28-$H28)-SUM(V28:W28)</f>
        <v>0</v>
      </c>
      <c r="Y28" s="114">
        <f t="shared" ref="Y28:Y33" si="10">T28*($G28-$H28)-SUM(V28:X28)</f>
        <v>0</v>
      </c>
      <c r="Z28" s="114">
        <f t="shared" ref="Z28:Z33" si="11">U28*($G28-$H28)-SUM(V28:Y28)</f>
        <v>0</v>
      </c>
    </row>
    <row r="29" spans="1:31" s="10" customFormat="1" ht="21" customHeight="1" x14ac:dyDescent="0.25">
      <c r="A29" s="397"/>
      <c r="B29" s="382"/>
      <c r="C29" s="10" t="str">
        <f>+'RVK SVÆDI'!C6</f>
        <v>Héðinsreitur V64</v>
      </c>
      <c r="D29" s="116">
        <f>+'RVK SVÆDI'!D6</f>
        <v>1</v>
      </c>
      <c r="E29" s="117" t="str">
        <f>+'RVK SVÆDI'!E6</f>
        <v>Vesturbær</v>
      </c>
      <c r="F29" s="117" t="str">
        <f>+'RVK SVÆDI'!F6</f>
        <v>Vesturbæjarskóli</v>
      </c>
      <c r="G29" s="118">
        <v>0</v>
      </c>
      <c r="H29" s="118">
        <v>0</v>
      </c>
      <c r="I29" s="118">
        <v>0</v>
      </c>
      <c r="J29" s="119">
        <f t="shared" si="3"/>
        <v>0</v>
      </c>
      <c r="K29" s="117"/>
      <c r="L29" s="120">
        <v>4</v>
      </c>
      <c r="M29" s="117">
        <f t="shared" si="6"/>
        <v>48</v>
      </c>
      <c r="N29" s="120">
        <v>5.4</v>
      </c>
      <c r="O29" s="120">
        <v>16</v>
      </c>
      <c r="P29" s="117">
        <f t="shared" si="7"/>
        <v>39.4</v>
      </c>
      <c r="Q29" s="121">
        <f t="shared" si="8"/>
        <v>0</v>
      </c>
      <c r="R29" s="121">
        <f t="shared" si="8"/>
        <v>0</v>
      </c>
      <c r="S29" s="121">
        <f t="shared" si="8"/>
        <v>0</v>
      </c>
      <c r="T29" s="121">
        <f t="shared" si="8"/>
        <v>5.4166666666666696E-2</v>
      </c>
      <c r="U29" s="121">
        <f t="shared" si="8"/>
        <v>0.3041666666666667</v>
      </c>
      <c r="V29" s="122">
        <f t="shared" si="4"/>
        <v>0</v>
      </c>
      <c r="W29" s="122">
        <f t="shared" si="5"/>
        <v>0</v>
      </c>
      <c r="X29" s="122">
        <f t="shared" ref="X29:X30" si="12">S29*($G29-$H29)-SUM(V29:W29)</f>
        <v>0</v>
      </c>
      <c r="Y29" s="122">
        <f t="shared" ref="Y29:Y30" si="13">T29*($G29-$H29)-SUM(V29:X29)</f>
        <v>0</v>
      </c>
      <c r="Z29" s="122">
        <f t="shared" si="11"/>
        <v>0</v>
      </c>
      <c r="AA29" s="117"/>
    </row>
    <row r="30" spans="1:31" s="10" customFormat="1" ht="21" customHeight="1" x14ac:dyDescent="0.25">
      <c r="A30" s="397"/>
      <c r="B30" s="382"/>
      <c r="C30" s="10" t="str">
        <f>+'RVK SVÆDI'!C7</f>
        <v>Héðinsgata 7 (Vesturgata 67?)</v>
      </c>
      <c r="D30" s="116">
        <f>+'RVK SVÆDI'!D7</f>
        <v>2</v>
      </c>
      <c r="E30" s="117" t="str">
        <f>+'RVK SVÆDI'!E7</f>
        <v>Vesturbær</v>
      </c>
      <c r="F30" s="117" t="str">
        <f>+'RVK SVÆDI'!F7</f>
        <v>Vesturbæjarskóli</v>
      </c>
      <c r="G30" s="118">
        <v>0</v>
      </c>
      <c r="H30" s="118">
        <v>0</v>
      </c>
      <c r="I30" s="118">
        <v>0</v>
      </c>
      <c r="J30" s="119">
        <f t="shared" si="3"/>
        <v>0</v>
      </c>
      <c r="K30" s="117"/>
      <c r="L30" s="120">
        <v>0.5</v>
      </c>
      <c r="M30" s="117">
        <f t="shared" si="6"/>
        <v>6</v>
      </c>
      <c r="N30" s="120">
        <v>0</v>
      </c>
      <c r="O30" s="120">
        <v>6</v>
      </c>
      <c r="P30" s="117">
        <f t="shared" si="7"/>
        <v>24</v>
      </c>
      <c r="Q30" s="121">
        <f t="shared" si="8"/>
        <v>0</v>
      </c>
      <c r="R30" s="121">
        <f t="shared" si="8"/>
        <v>0</v>
      </c>
      <c r="S30" s="121">
        <f t="shared" si="8"/>
        <v>1</v>
      </c>
      <c r="T30" s="121">
        <f t="shared" si="8"/>
        <v>1</v>
      </c>
      <c r="U30" s="121">
        <f t="shared" si="8"/>
        <v>1</v>
      </c>
      <c r="V30" s="122">
        <f t="shared" si="4"/>
        <v>0</v>
      </c>
      <c r="W30" s="122">
        <f t="shared" si="5"/>
        <v>0</v>
      </c>
      <c r="X30" s="122">
        <f t="shared" si="12"/>
        <v>0</v>
      </c>
      <c r="Y30" s="122">
        <f t="shared" si="13"/>
        <v>0</v>
      </c>
      <c r="Z30" s="122">
        <f t="shared" si="11"/>
        <v>0</v>
      </c>
      <c r="AA30" s="117"/>
    </row>
    <row r="31" spans="1:31" s="10" customFormat="1" ht="21" customHeight="1" x14ac:dyDescent="0.25">
      <c r="A31" s="397"/>
      <c r="B31" s="382"/>
      <c r="C31" s="124" t="str">
        <f>+'RVK SVÆDI'!C8</f>
        <v>Keilugrandi 1</v>
      </c>
      <c r="D31" s="116">
        <f>+'RVK SVÆDI'!D8</f>
        <v>1</v>
      </c>
      <c r="E31" s="117" t="str">
        <f>+'RVK SVÆDI'!E8</f>
        <v>Vesturbær</v>
      </c>
      <c r="F31" s="117" t="str">
        <f>+'RVK SVÆDI'!F8</f>
        <v>Vesturbæjarskóli</v>
      </c>
      <c r="G31" s="118">
        <v>0</v>
      </c>
      <c r="H31" s="118">
        <v>0</v>
      </c>
      <c r="I31" s="118">
        <v>0</v>
      </c>
      <c r="J31" s="119"/>
      <c r="K31" s="117"/>
      <c r="L31" s="120"/>
      <c r="M31" s="117"/>
      <c r="N31" s="120"/>
      <c r="O31" s="120"/>
      <c r="P31" s="117"/>
      <c r="Q31" s="121"/>
      <c r="R31" s="121"/>
      <c r="S31" s="121"/>
      <c r="T31" s="121"/>
      <c r="U31" s="121"/>
      <c r="V31" s="122"/>
      <c r="W31" s="122"/>
      <c r="X31" s="122"/>
      <c r="Y31" s="122"/>
      <c r="Z31" s="122"/>
      <c r="AA31" s="117"/>
    </row>
    <row r="32" spans="1:31" s="10" customFormat="1" ht="21" customHeight="1" x14ac:dyDescent="0.25">
      <c r="A32" s="397"/>
      <c r="B32" s="382"/>
      <c r="C32" s="10" t="str">
        <f>+'RVK SVÆDI'!C9</f>
        <v>Landhelgisgæslureitur</v>
      </c>
      <c r="D32" s="116">
        <f>+'RVK SVÆDI'!D9</f>
        <v>4</v>
      </c>
      <c r="E32" s="117" t="str">
        <f>+'RVK SVÆDI'!E9</f>
        <v>Vesturbær</v>
      </c>
      <c r="F32" s="117" t="str">
        <f>+'RVK SVÆDI'!F9</f>
        <v>Vesturbæjarskóli</v>
      </c>
      <c r="G32" s="118">
        <v>0</v>
      </c>
      <c r="H32" s="118">
        <v>0</v>
      </c>
      <c r="I32" s="118">
        <v>0</v>
      </c>
      <c r="J32" s="119"/>
      <c r="K32" s="117"/>
      <c r="L32" s="120"/>
      <c r="M32" s="117"/>
      <c r="N32" s="120"/>
      <c r="O32" s="120"/>
      <c r="P32" s="117"/>
      <c r="Q32" s="121"/>
      <c r="R32" s="121"/>
      <c r="S32" s="121"/>
      <c r="T32" s="121"/>
      <c r="U32" s="121"/>
      <c r="V32" s="122"/>
      <c r="W32" s="122"/>
      <c r="X32" s="122"/>
      <c r="Y32" s="122"/>
      <c r="Z32" s="122"/>
      <c r="AA32" s="117"/>
    </row>
    <row r="33" spans="1:27" ht="21" customHeight="1" x14ac:dyDescent="0.25">
      <c r="A33" s="397"/>
      <c r="B33" s="382"/>
      <c r="C33" s="7" t="str">
        <f>+'RVK SVÆDI'!C10</f>
        <v>Steindórsreitur</v>
      </c>
      <c r="D33" s="8">
        <f>+'RVK SVÆDI'!D10</f>
        <v>1</v>
      </c>
      <c r="E33" s="6" t="str">
        <f>+'RVK SVÆDI'!E10</f>
        <v>Vesturbær</v>
      </c>
      <c r="F33" s="6" t="str">
        <f>+'RVK SVÆDI'!F10</f>
        <v>Vesturbæjarskóli</v>
      </c>
      <c r="G33" s="108">
        <v>1400</v>
      </c>
      <c r="H33" s="108">
        <v>0</v>
      </c>
      <c r="I33" s="108">
        <v>0</v>
      </c>
      <c r="J33" s="109">
        <f t="shared" si="3"/>
        <v>1400</v>
      </c>
      <c r="L33" s="112">
        <v>1</v>
      </c>
      <c r="M33" s="6">
        <f t="shared" si="6"/>
        <v>12</v>
      </c>
      <c r="N33" s="112">
        <v>0</v>
      </c>
      <c r="O33" s="112">
        <v>14</v>
      </c>
      <c r="P33" s="6">
        <f t="shared" si="7"/>
        <v>32</v>
      </c>
      <c r="Q33" s="113">
        <f t="shared" ref="Q33:U34" si="14">IFERROR(IF(AND((Q$236-$P33)/$M33&gt;0,(Q$236-$P33)/$M33&lt;1),(Q$236-$P33)/$M33,IF((Q$236-$P33)/$M33&gt;0,1,0)),0)</f>
        <v>0</v>
      </c>
      <c r="R33" s="113">
        <f t="shared" si="14"/>
        <v>0</v>
      </c>
      <c r="S33" s="113">
        <f t="shared" si="14"/>
        <v>0</v>
      </c>
      <c r="T33" s="113">
        <f t="shared" si="14"/>
        <v>0.83333333333333337</v>
      </c>
      <c r="U33" s="113">
        <f t="shared" si="14"/>
        <v>1</v>
      </c>
      <c r="V33" s="114">
        <f t="shared" si="4"/>
        <v>0</v>
      </c>
      <c r="W33" s="114">
        <f t="shared" si="5"/>
        <v>0</v>
      </c>
      <c r="X33" s="114">
        <f t="shared" si="9"/>
        <v>0</v>
      </c>
      <c r="Y33" s="114">
        <f t="shared" si="10"/>
        <v>1166.6666666666667</v>
      </c>
      <c r="Z33" s="114">
        <f t="shared" si="11"/>
        <v>233.33333333333326</v>
      </c>
    </row>
    <row r="34" spans="1:27" ht="21" customHeight="1" x14ac:dyDescent="0.25">
      <c r="A34" s="397"/>
      <c r="B34" s="382"/>
      <c r="C34" s="7" t="str">
        <f>+'RVK SVÆDI'!C11</f>
        <v>KR-svæði</v>
      </c>
      <c r="D34" s="8">
        <f>+'RVK SVÆDI'!D11</f>
        <v>3</v>
      </c>
      <c r="E34" s="6" t="str">
        <f>+'RVK SVÆDI'!E11</f>
        <v>Vesturbær</v>
      </c>
      <c r="F34" s="6" t="str">
        <f>+'RVK SVÆDI'!F11</f>
        <v>Grandaskóli</v>
      </c>
      <c r="G34" s="108">
        <v>300</v>
      </c>
      <c r="H34" s="108">
        <v>0</v>
      </c>
      <c r="I34" s="108">
        <v>0</v>
      </c>
      <c r="J34" s="109">
        <f t="shared" si="3"/>
        <v>0</v>
      </c>
      <c r="L34" s="112">
        <v>3</v>
      </c>
      <c r="M34" s="6">
        <f t="shared" si="6"/>
        <v>36</v>
      </c>
      <c r="N34" s="112">
        <v>48</v>
      </c>
      <c r="O34" s="112">
        <v>16</v>
      </c>
      <c r="P34" s="6">
        <f t="shared" si="7"/>
        <v>82</v>
      </c>
      <c r="Q34" s="113">
        <f t="shared" si="14"/>
        <v>0</v>
      </c>
      <c r="R34" s="113">
        <f t="shared" si="14"/>
        <v>0</v>
      </c>
      <c r="S34" s="113">
        <f t="shared" si="14"/>
        <v>0</v>
      </c>
      <c r="T34" s="113">
        <f t="shared" si="14"/>
        <v>0</v>
      </c>
      <c r="U34" s="113">
        <f t="shared" si="14"/>
        <v>0</v>
      </c>
      <c r="V34" s="114">
        <f>Q34*($G34-$H34)</f>
        <v>0</v>
      </c>
      <c r="W34" s="114">
        <f>R34*($G34-$H34)-V34</f>
        <v>0</v>
      </c>
      <c r="X34" s="114">
        <f>S34*($G34-$H34)-SUM(V34:W34)</f>
        <v>0</v>
      </c>
      <c r="Y34" s="114">
        <f>T34*($G34-$H34)-SUM(V34:X34)</f>
        <v>0</v>
      </c>
      <c r="Z34" s="114">
        <f>U34*($G34-$H34)-SUM(V34:Y34)</f>
        <v>0</v>
      </c>
    </row>
    <row r="35" spans="1:27" s="10" customFormat="1" ht="21" customHeight="1" x14ac:dyDescent="0.25">
      <c r="A35" s="397"/>
      <c r="B35" s="382"/>
      <c r="C35" s="124" t="str">
        <f>+'RVK SVÆDI'!C12</f>
        <v>Ægisíða 102 (B)</v>
      </c>
      <c r="D35" s="116">
        <f>+'RVK SVÆDI'!D12</f>
        <v>4</v>
      </c>
      <c r="E35" s="117" t="str">
        <f>+'RVK SVÆDI'!E12</f>
        <v>Vesturbær</v>
      </c>
      <c r="F35" s="117" t="str">
        <f>+'RVK SVÆDI'!F12</f>
        <v>Hagaskóli</v>
      </c>
      <c r="G35" s="118"/>
      <c r="H35" s="118"/>
      <c r="I35" s="118"/>
      <c r="J35" s="119"/>
      <c r="K35" s="117"/>
      <c r="L35" s="120"/>
      <c r="M35" s="117"/>
      <c r="N35" s="120"/>
      <c r="O35" s="120"/>
      <c r="P35" s="117"/>
      <c r="Q35" s="121"/>
      <c r="R35" s="121"/>
      <c r="S35" s="121"/>
      <c r="T35" s="121"/>
      <c r="U35" s="121"/>
      <c r="V35" s="122"/>
      <c r="W35" s="122"/>
      <c r="X35" s="122"/>
      <c r="Y35" s="122"/>
      <c r="Z35" s="122"/>
      <c r="AA35" s="117"/>
    </row>
    <row r="36" spans="1:27" ht="21" customHeight="1" x14ac:dyDescent="0.25">
      <c r="A36" s="397"/>
      <c r="B36" s="382"/>
      <c r="C36" s="7" t="str">
        <f>+'RVK SVÆDI'!C13</f>
        <v>Grandi-Fiskislóð</v>
      </c>
      <c r="D36" s="8">
        <f>+'RVK SVÆDI'!D13</f>
        <v>1</v>
      </c>
      <c r="E36" s="6" t="str">
        <f>+'RVK SVÆDI'!E13</f>
        <v>Vesturbær</v>
      </c>
      <c r="F36" s="6" t="str">
        <f>+'RVK SVÆDI'!F13</f>
        <v>Hagaskóli</v>
      </c>
      <c r="G36" s="108">
        <v>8000</v>
      </c>
      <c r="H36" s="108">
        <v>0</v>
      </c>
      <c r="I36" s="108">
        <v>0</v>
      </c>
      <c r="J36" s="109">
        <f t="shared" si="3"/>
        <v>8000</v>
      </c>
      <c r="L36" s="110" t="s">
        <v>305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08">
        <v>0</v>
      </c>
      <c r="W36" s="108">
        <v>2016</v>
      </c>
      <c r="X36" s="108">
        <v>0</v>
      </c>
      <c r="Y36" s="108">
        <v>0</v>
      </c>
      <c r="Z36" s="108">
        <v>1984</v>
      </c>
    </row>
    <row r="37" spans="1:27" ht="21" customHeight="1" x14ac:dyDescent="0.25">
      <c r="A37" s="397"/>
      <c r="B37" s="382"/>
      <c r="C37" s="7" t="str">
        <f>+'RVK SVÆDI'!C14</f>
        <v>Grandagarður Alliance hús, hótel</v>
      </c>
      <c r="D37" s="8">
        <f>+'RVK SVÆDI'!D14</f>
        <v>2</v>
      </c>
      <c r="E37" s="6" t="str">
        <f>+'RVK SVÆDI'!E14</f>
        <v>Vesturbær</v>
      </c>
      <c r="F37" s="6" t="str">
        <f>+'RVK SVÆDI'!F14</f>
        <v>Hagaskóli</v>
      </c>
      <c r="G37" s="108">
        <v>4500</v>
      </c>
      <c r="H37" s="108">
        <v>0</v>
      </c>
      <c r="I37" s="108">
        <v>0</v>
      </c>
      <c r="J37" s="109">
        <f t="shared" si="3"/>
        <v>4500</v>
      </c>
      <c r="L37" s="112">
        <v>1</v>
      </c>
      <c r="M37" s="6">
        <f t="shared" ref="M37" si="15">+L37*12</f>
        <v>12</v>
      </c>
      <c r="N37" s="112">
        <v>48</v>
      </c>
      <c r="O37" s="112">
        <v>16</v>
      </c>
      <c r="P37" s="6">
        <f t="shared" ref="P37" si="16">+N37+O37+18</f>
        <v>82</v>
      </c>
      <c r="Q37" s="113">
        <f t="shared" ref="Q37:U38" si="17">IFERROR(IF(AND((Q$236-$P37)/$M37&gt;0,(Q$236-$P37)/$M37&lt;1),(Q$236-$P37)/$M37,IF((Q$236-$P37)/$M37&gt;0,1,0)),0)</f>
        <v>0</v>
      </c>
      <c r="R37" s="113">
        <f t="shared" si="17"/>
        <v>0</v>
      </c>
      <c r="S37" s="113">
        <f t="shared" si="17"/>
        <v>0</v>
      </c>
      <c r="T37" s="113">
        <f t="shared" si="17"/>
        <v>0</v>
      </c>
      <c r="U37" s="113">
        <f t="shared" si="17"/>
        <v>0</v>
      </c>
      <c r="V37" s="114">
        <f t="shared" ref="V37" si="18">Q37*($G37-$H37)</f>
        <v>0</v>
      </c>
      <c r="W37" s="114">
        <f t="shared" ref="W37" si="19">R37*($G37-$H37)-V37</f>
        <v>0</v>
      </c>
      <c r="X37" s="114">
        <f t="shared" ref="X37" si="20">S37*($G37-$H37)-SUM(V37:W37)</f>
        <v>0</v>
      </c>
      <c r="Y37" s="114">
        <f t="shared" ref="Y37" si="21">T37*($G37-$H37)-SUM(V37:X37)</f>
        <v>0</v>
      </c>
      <c r="Z37" s="114">
        <f t="shared" ref="Z37" si="22">U37*($G37-$H37)-SUM(V37:Y37)</f>
        <v>0</v>
      </c>
    </row>
    <row r="38" spans="1:27" ht="21" customHeight="1" x14ac:dyDescent="0.25">
      <c r="A38" s="397"/>
      <c r="B38" s="382"/>
      <c r="C38" s="127" t="str">
        <f>+'RVK SVÆDI'!C15</f>
        <v>Línbergsreitur</v>
      </c>
      <c r="D38" s="8">
        <f>+'RVK SVÆDI'!D15</f>
        <v>3</v>
      </c>
      <c r="E38" s="6" t="str">
        <f>+'RVK SVÆDI'!E15</f>
        <v>Vesturbær</v>
      </c>
      <c r="F38" s="6" t="str">
        <f>+'RVK SVÆDI'!F15</f>
        <v>Hagaskóli</v>
      </c>
      <c r="G38" s="108">
        <f>60000-G37-G36</f>
        <v>47500</v>
      </c>
      <c r="H38" s="108">
        <v>0</v>
      </c>
      <c r="I38" s="108">
        <v>0</v>
      </c>
      <c r="J38" s="109">
        <f>+IF(D38=1,(G38-H38-I38),IF(D38=2,(G38-H38-I38),0))</f>
        <v>0</v>
      </c>
      <c r="L38" s="128">
        <v>7.9166666814404421</v>
      </c>
      <c r="M38" s="6">
        <f>+L38*12</f>
        <v>95.000000177285301</v>
      </c>
      <c r="N38" s="112">
        <v>12</v>
      </c>
      <c r="O38" s="112">
        <v>16</v>
      </c>
      <c r="P38" s="6">
        <f>+N38+O38+18</f>
        <v>46</v>
      </c>
      <c r="Q38" s="113">
        <f t="shared" si="17"/>
        <v>0</v>
      </c>
      <c r="R38" s="113">
        <f t="shared" si="17"/>
        <v>0</v>
      </c>
      <c r="S38" s="113">
        <f t="shared" si="17"/>
        <v>0</v>
      </c>
      <c r="T38" s="113">
        <f t="shared" si="17"/>
        <v>0</v>
      </c>
      <c r="U38" s="113">
        <f t="shared" si="17"/>
        <v>8.4210526158639068E-2</v>
      </c>
      <c r="V38" s="114">
        <f>Q38*($G38-$H38)</f>
        <v>0</v>
      </c>
      <c r="W38" s="114">
        <f>R38*($G38-$H38)-V38</f>
        <v>0</v>
      </c>
      <c r="X38" s="114">
        <f>S38*($G38-$H38)-SUM(V38:W38)</f>
        <v>0</v>
      </c>
      <c r="Y38" s="114">
        <f>T38*($G38-$H38)-SUM(V38:X38)</f>
        <v>0</v>
      </c>
      <c r="Z38" s="377">
        <v>0</v>
      </c>
    </row>
    <row r="39" spans="1:27" ht="21" customHeight="1" x14ac:dyDescent="0.25">
      <c r="A39" s="397"/>
      <c r="B39" s="382"/>
      <c r="C39" s="7" t="str">
        <f>+'RVK SVÆDI'!C16</f>
        <v>HÍ-svæði-vestan Suðurgötu</v>
      </c>
      <c r="D39" s="8">
        <f>+'RVK SVÆDI'!D16</f>
        <v>4</v>
      </c>
      <c r="E39" s="6" t="str">
        <f>+'RVK SVÆDI'!E16</f>
        <v>Vesturbær</v>
      </c>
      <c r="F39" s="6" t="str">
        <f>+'RVK SVÆDI'!F16</f>
        <v>Hagaskóli</v>
      </c>
      <c r="G39" s="108">
        <v>6600</v>
      </c>
      <c r="H39" s="130">
        <v>6600</v>
      </c>
      <c r="I39" s="108">
        <v>0</v>
      </c>
      <c r="J39" s="109">
        <f t="shared" ref="J39" si="23">+IF(D39=1,(G39-H39-I39),IF(D39=2,(G39-H39-I39),0))</f>
        <v>0</v>
      </c>
      <c r="L39" s="110" t="s">
        <v>305</v>
      </c>
      <c r="M39" s="111"/>
      <c r="N39" s="111"/>
      <c r="O39" s="111"/>
      <c r="P39" s="111"/>
      <c r="Q39" s="111"/>
      <c r="R39" s="111"/>
      <c r="S39" s="111"/>
      <c r="T39" s="111"/>
      <c r="U39" s="111"/>
      <c r="V39" s="108">
        <v>0</v>
      </c>
      <c r="W39" s="108">
        <v>0</v>
      </c>
      <c r="X39" s="108">
        <v>6600</v>
      </c>
      <c r="Y39" s="108">
        <v>0</v>
      </c>
      <c r="Z39" s="108">
        <v>0</v>
      </c>
    </row>
    <row r="40" spans="1:27" s="10" customFormat="1" ht="21" customHeight="1" x14ac:dyDescent="0.25">
      <c r="A40" s="397"/>
      <c r="B40" s="382"/>
      <c r="C40" s="124" t="str">
        <f>+'RVK SVÆDI'!C17</f>
        <v>Hótel Saga - breyting í íbúðir</v>
      </c>
      <c r="D40" s="116">
        <f>+'RVK SVÆDI'!D17</f>
        <v>1</v>
      </c>
      <c r="E40" s="129" t="str">
        <f>+'RVK SVÆDI'!E17</f>
        <v>Vesturbær</v>
      </c>
      <c r="F40" s="117" t="str">
        <f>+'RVK SVÆDI'!F17</f>
        <v>Hagaskóli</v>
      </c>
      <c r="G40" s="118"/>
      <c r="H40" s="118"/>
      <c r="I40" s="118"/>
      <c r="J40" s="119"/>
      <c r="K40" s="117"/>
      <c r="L40" s="120"/>
      <c r="M40" s="117"/>
      <c r="N40" s="120"/>
      <c r="O40" s="120"/>
      <c r="P40" s="117"/>
      <c r="Q40" s="121"/>
      <c r="R40" s="121"/>
      <c r="S40" s="121"/>
      <c r="T40" s="121"/>
      <c r="U40" s="121"/>
      <c r="V40" s="122"/>
      <c r="W40" s="122"/>
      <c r="X40" s="122"/>
      <c r="Y40" s="122"/>
      <c r="Z40" s="122"/>
      <c r="AA40" s="117"/>
    </row>
    <row r="41" spans="1:27" s="10" customFormat="1" ht="21" customHeight="1" x14ac:dyDescent="0.25">
      <c r="A41" s="397"/>
      <c r="B41" s="382"/>
      <c r="C41" s="124" t="str">
        <f>+'RVK SVÆDI'!C18</f>
        <v>Dunhagi 18-20</v>
      </c>
      <c r="D41" s="116">
        <f>+'RVK SVÆDI'!D18</f>
        <v>1</v>
      </c>
      <c r="E41" s="129" t="str">
        <f>+'RVK SVÆDI'!E18</f>
        <v>Vesturbær</v>
      </c>
      <c r="F41" s="117" t="str">
        <f>+'RVK SVÆDI'!F18</f>
        <v>Hagaskóli</v>
      </c>
      <c r="G41" s="118"/>
      <c r="H41" s="118"/>
      <c r="I41" s="118"/>
      <c r="J41" s="119"/>
      <c r="K41" s="117"/>
      <c r="L41" s="120"/>
      <c r="M41" s="117"/>
      <c r="N41" s="120"/>
      <c r="O41" s="120"/>
      <c r="P41" s="117"/>
      <c r="Q41" s="121"/>
      <c r="R41" s="121"/>
      <c r="S41" s="121"/>
      <c r="T41" s="121"/>
      <c r="U41" s="121"/>
      <c r="V41" s="122"/>
      <c r="W41" s="122"/>
      <c r="X41" s="122"/>
      <c r="Y41" s="122"/>
      <c r="Z41" s="122"/>
      <c r="AA41" s="117"/>
    </row>
    <row r="42" spans="1:27" s="10" customFormat="1" ht="21" customHeight="1" x14ac:dyDescent="0.25">
      <c r="A42" s="397"/>
      <c r="B42" s="382"/>
      <c r="C42" s="124" t="str">
        <f>+'RVK SVÆDI'!C20</f>
        <v>HÍ-austan Suðurgötu</v>
      </c>
      <c r="D42" s="116">
        <f>+'RVK SVÆDI'!D20</f>
        <v>1</v>
      </c>
      <c r="E42" s="129" t="str">
        <f>+'RVK SVÆDI'!E20</f>
        <v>Vatnsmýri</v>
      </c>
      <c r="F42" s="117" t="str">
        <f>+'RVK SVÆDI'!F20</f>
        <v>Hagaskóli</v>
      </c>
      <c r="G42" s="118"/>
      <c r="H42" s="118"/>
      <c r="I42" s="118"/>
      <c r="J42" s="119"/>
      <c r="K42" s="117"/>
      <c r="L42" s="120"/>
      <c r="M42" s="117"/>
      <c r="N42" s="120"/>
      <c r="O42" s="120"/>
      <c r="P42" s="117"/>
      <c r="Q42" s="121"/>
      <c r="R42" s="121"/>
      <c r="S42" s="121"/>
      <c r="T42" s="121"/>
      <c r="U42" s="121"/>
      <c r="V42" s="122"/>
      <c r="W42" s="122"/>
      <c r="X42" s="122"/>
      <c r="Y42" s="122"/>
      <c r="Z42" s="122"/>
      <c r="AA42" s="117"/>
    </row>
    <row r="43" spans="1:27" ht="21" customHeight="1" x14ac:dyDescent="0.25">
      <c r="A43" s="397"/>
      <c r="B43" s="382"/>
      <c r="C43" s="7" t="str">
        <f>+'RVK SVÆDI'!C21</f>
        <v>Vísindagarðar</v>
      </c>
      <c r="D43" s="8">
        <f>+'RVK SVÆDI'!D21</f>
        <v>1</v>
      </c>
      <c r="E43" s="6" t="str">
        <f>+'RVK SVÆDI'!E21</f>
        <v>Vatnsmýri</v>
      </c>
      <c r="F43" s="6" t="str">
        <f>+'RVK SVÆDI'!F21</f>
        <v>Hagaskóli</v>
      </c>
      <c r="G43" s="108">
        <v>58000</v>
      </c>
      <c r="H43" s="130">
        <v>17500</v>
      </c>
      <c r="I43" s="130">
        <v>8000</v>
      </c>
      <c r="J43" s="109">
        <f t="shared" si="3"/>
        <v>32500</v>
      </c>
      <c r="L43" s="110" t="s">
        <v>305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08">
        <v>17500</v>
      </c>
      <c r="W43" s="108">
        <v>0</v>
      </c>
      <c r="X43" s="108">
        <v>0</v>
      </c>
      <c r="Y43" s="108">
        <v>8000</v>
      </c>
      <c r="Z43" s="108">
        <v>0</v>
      </c>
      <c r="AA43" s="109"/>
    </row>
    <row r="44" spans="1:27" ht="21" customHeight="1" x14ac:dyDescent="0.25">
      <c r="A44" s="397"/>
      <c r="B44" s="382"/>
      <c r="C44" s="7" t="str">
        <f>+'RVK SVÆDI'!C22</f>
        <v>Áhaldahúslóð</v>
      </c>
      <c r="D44" s="8">
        <f>+'RVK SVÆDI'!D22</f>
        <v>4</v>
      </c>
      <c r="E44" s="6" t="str">
        <f>+'RVK SVÆDI'!E22</f>
        <v>Vatnsmýri</v>
      </c>
      <c r="F44" s="6" t="str">
        <f>+'RVK SVÆDI'!F22</f>
        <v>Hagaskóli</v>
      </c>
      <c r="G44" s="108">
        <v>8000</v>
      </c>
      <c r="H44" s="108">
        <v>0</v>
      </c>
      <c r="I44" s="108">
        <v>0</v>
      </c>
      <c r="J44" s="109">
        <f t="shared" si="3"/>
        <v>0</v>
      </c>
      <c r="L44" s="112">
        <v>1</v>
      </c>
      <c r="M44" s="6">
        <f t="shared" ref="M44" si="24">+L44*12</f>
        <v>12</v>
      </c>
      <c r="N44" s="112">
        <v>48</v>
      </c>
      <c r="O44" s="112">
        <v>16</v>
      </c>
      <c r="P44" s="6">
        <f t="shared" ref="P44" si="25">+N44+O44+18</f>
        <v>82</v>
      </c>
      <c r="Q44" s="113">
        <f t="shared" ref="Q44:U45" si="26">IFERROR(IF(AND((Q$236-$P44)/$M44&gt;0,(Q$236-$P44)/$M44&lt;1),(Q$236-$P44)/$M44,IF((Q$236-$P44)/$M44&gt;0,1,0)),0)</f>
        <v>0</v>
      </c>
      <c r="R44" s="113">
        <f t="shared" si="26"/>
        <v>0</v>
      </c>
      <c r="S44" s="113">
        <f t="shared" si="26"/>
        <v>0</v>
      </c>
      <c r="T44" s="113">
        <f t="shared" si="26"/>
        <v>0</v>
      </c>
      <c r="U44" s="113">
        <f t="shared" si="26"/>
        <v>0</v>
      </c>
      <c r="V44" s="114">
        <f t="shared" ref="V44" si="27">Q44*($G44-$H44)</f>
        <v>0</v>
      </c>
      <c r="W44" s="114">
        <f t="shared" ref="W44" si="28">R44*($G44-$H44)-V44</f>
        <v>0</v>
      </c>
      <c r="X44" s="114">
        <f t="shared" ref="X44" si="29">S44*($G44-$H44)-SUM(V44:W44)</f>
        <v>0</v>
      </c>
      <c r="Y44" s="114">
        <f t="shared" ref="Y44" si="30">T44*($G44-$H44)-SUM(V44:X44)</f>
        <v>0</v>
      </c>
      <c r="Z44" s="114">
        <f t="shared" ref="Z44" si="31">U44*($G44-$H44)-SUM(V44:Y44)</f>
        <v>0</v>
      </c>
      <c r="AA44" s="109"/>
    </row>
    <row r="45" spans="1:27" ht="21" customHeight="1" x14ac:dyDescent="0.25">
      <c r="A45" s="397"/>
      <c r="B45" s="382"/>
      <c r="C45" s="7" t="str">
        <f>+'RVK SVÆDI'!C23</f>
        <v>Vatnsmýri (svæði nr. 19, 18, 17 sbr. AR) - flugvöllur aflagður</v>
      </c>
      <c r="D45" s="8">
        <f>+'RVK SVÆDI'!D23</f>
        <v>5</v>
      </c>
      <c r="E45" s="6" t="str">
        <f>+'RVK SVÆDI'!E23</f>
        <v>Vatnsmýri</v>
      </c>
      <c r="F45" s="6" t="str">
        <f>+'RVK SVÆDI'!F23</f>
        <v>Vatnsmýri</v>
      </c>
      <c r="G45" s="130">
        <v>30000</v>
      </c>
      <c r="H45" s="108">
        <v>0</v>
      </c>
      <c r="I45" s="108">
        <v>0</v>
      </c>
      <c r="J45" s="109">
        <f t="shared" si="3"/>
        <v>0</v>
      </c>
      <c r="L45" s="112">
        <v>20</v>
      </c>
      <c r="M45" s="6">
        <f t="shared" si="6"/>
        <v>240</v>
      </c>
      <c r="N45" s="112">
        <v>180</v>
      </c>
      <c r="O45" s="112">
        <v>14</v>
      </c>
      <c r="P45" s="6">
        <f t="shared" si="7"/>
        <v>212</v>
      </c>
      <c r="Q45" s="113">
        <f t="shared" si="26"/>
        <v>0</v>
      </c>
      <c r="R45" s="113">
        <f t="shared" si="26"/>
        <v>0</v>
      </c>
      <c r="S45" s="113">
        <f t="shared" si="26"/>
        <v>0</v>
      </c>
      <c r="T45" s="113">
        <f t="shared" si="26"/>
        <v>0</v>
      </c>
      <c r="U45" s="113">
        <f t="shared" si="26"/>
        <v>0</v>
      </c>
      <c r="V45" s="114">
        <f>Q45*($G45-$H45)</f>
        <v>0</v>
      </c>
      <c r="W45" s="114">
        <f>R45*($G45-$H45)-V45</f>
        <v>0</v>
      </c>
      <c r="X45" s="114">
        <f>S45*($G45-$H45)-SUM(V45:W45)</f>
        <v>0</v>
      </c>
      <c r="Y45" s="114">
        <f>T45*($G45-$H45)-SUM(V45:X45)</f>
        <v>0</v>
      </c>
      <c r="Z45" s="114">
        <f>U45*($G45-$H45)-SUM(V45:Y45)</f>
        <v>0</v>
      </c>
    </row>
    <row r="46" spans="1:27" s="10" customFormat="1" ht="21" customHeight="1" x14ac:dyDescent="0.25">
      <c r="A46" s="397"/>
      <c r="B46" s="382"/>
      <c r="C46" s="124" t="str">
        <f>+'RVK SVÆDI'!C24</f>
        <v>Fluggarðar</v>
      </c>
      <c r="D46" s="116">
        <f>+'RVK SVÆDI'!D24</f>
        <v>5</v>
      </c>
      <c r="E46" s="129" t="str">
        <f>+'RVK SVÆDI'!E24</f>
        <v>Vatnsmýri</v>
      </c>
      <c r="F46" s="117" t="str">
        <f>+'RVK SVÆDI'!F24</f>
        <v>Vatnsmýri</v>
      </c>
      <c r="G46" s="118"/>
      <c r="H46" s="118"/>
      <c r="I46" s="118"/>
      <c r="J46" s="119"/>
      <c r="K46" s="117"/>
      <c r="L46" s="120"/>
      <c r="M46" s="117"/>
      <c r="N46" s="120"/>
      <c r="O46" s="120"/>
      <c r="P46" s="117"/>
      <c r="Q46" s="121"/>
      <c r="R46" s="121"/>
      <c r="S46" s="121"/>
      <c r="T46" s="121"/>
      <c r="U46" s="121"/>
      <c r="V46" s="122"/>
      <c r="W46" s="122"/>
      <c r="X46" s="122"/>
      <c r="Y46" s="122"/>
      <c r="Z46" s="122"/>
      <c r="AA46" s="117"/>
    </row>
    <row r="47" spans="1:27" ht="21" customHeight="1" x14ac:dyDescent="0.25">
      <c r="A47" s="397"/>
      <c r="B47" s="382"/>
      <c r="C47" s="7" t="str">
        <f>+'RVK SVÆDI'!C25</f>
        <v>Skerjabyggð I</v>
      </c>
      <c r="D47" s="8">
        <f>+'RVK SVÆDI'!D25</f>
        <v>2</v>
      </c>
      <c r="E47" s="6" t="str">
        <f>+'RVK SVÆDI'!E25</f>
        <v>Vatnsmýri</v>
      </c>
      <c r="F47" s="6" t="str">
        <f>+'RVK SVÆDI'!F25</f>
        <v>Vatnsmýri</v>
      </c>
      <c r="G47" s="108">
        <v>10000</v>
      </c>
      <c r="H47" s="108">
        <v>0</v>
      </c>
      <c r="I47" s="108">
        <v>0</v>
      </c>
      <c r="J47" s="109">
        <f t="shared" si="3"/>
        <v>10000</v>
      </c>
      <c r="L47" s="110" t="s">
        <v>305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08">
        <v>0</v>
      </c>
      <c r="W47" s="108">
        <v>0</v>
      </c>
      <c r="X47" s="108">
        <v>0</v>
      </c>
      <c r="Y47" s="108">
        <v>0</v>
      </c>
      <c r="Z47" s="108">
        <v>0</v>
      </c>
    </row>
    <row r="48" spans="1:27" ht="21" customHeight="1" x14ac:dyDescent="0.25">
      <c r="A48" s="397"/>
      <c r="B48" s="382"/>
      <c r="C48" s="7" t="str">
        <f>+'RVK SVÆDI'!C26</f>
        <v>Skerjabyggð II</v>
      </c>
      <c r="D48" s="8">
        <f>+'RVK SVÆDI'!D26</f>
        <v>4</v>
      </c>
      <c r="E48" s="6" t="str">
        <f>+'RVK SVÆDI'!E26</f>
        <v>Vatnsmýri</v>
      </c>
      <c r="F48" s="6" t="str">
        <f>+'RVK SVÆDI'!F26</f>
        <v>Vatnsmýri</v>
      </c>
      <c r="G48" s="108">
        <v>10000</v>
      </c>
      <c r="H48" s="108">
        <v>0</v>
      </c>
      <c r="I48" s="108">
        <v>0</v>
      </c>
      <c r="J48" s="109">
        <f t="shared" si="3"/>
        <v>0</v>
      </c>
      <c r="L48" s="112">
        <v>6</v>
      </c>
      <c r="M48" s="6">
        <f t="shared" si="6"/>
        <v>72</v>
      </c>
      <c r="N48" s="112">
        <v>60</v>
      </c>
      <c r="O48" s="112">
        <v>14</v>
      </c>
      <c r="P48" s="6">
        <f t="shared" si="7"/>
        <v>92</v>
      </c>
      <c r="Q48" s="113">
        <f>IFERROR(IF(AND((Q$236-$P48)/$M48&gt;0,(Q$236-$P48)/$M48&lt;1),(Q$236-$P48)/$M48,IF((Q$236-$P48)/$M48&gt;0,1,0)),0)</f>
        <v>0</v>
      </c>
      <c r="R48" s="113">
        <f>IFERROR(IF(AND((R$236-$P48)/$M48&gt;0,(R$236-$P48)/$M48&lt;1),(R$236-$P48)/$M48,IF((R$236-$P48)/$M48&gt;0,1,0)),0)</f>
        <v>0</v>
      </c>
      <c r="S48" s="113">
        <f>IFERROR(IF(AND((S$236-$P48)/$M48&gt;0,(S$236-$P48)/$M48&lt;1),(S$236-$P48)/$M48,IF((S$236-$P48)/$M48&gt;0,1,0)),0)</f>
        <v>0</v>
      </c>
      <c r="T48" s="113">
        <f>IFERROR(IF(AND((T$236-$P48)/$M48&gt;0,(T$236-$P48)/$M48&lt;1),(T$236-$P48)/$M48,IF((T$236-$P48)/$M48&gt;0,1,0)),0)</f>
        <v>0</v>
      </c>
      <c r="U48" s="113">
        <f>IFERROR(IF(AND((U$236-$P48)/$M48&gt;0,(U$236-$P48)/$M48&lt;1),(U$236-$P48)/$M48,IF((U$236-$P48)/$M48&gt;0,1,0)),0)</f>
        <v>0</v>
      </c>
      <c r="V48" s="114">
        <f t="shared" ref="V48:V135" si="32">Q48*($G48-$H48)</f>
        <v>0</v>
      </c>
      <c r="W48" s="114">
        <f>R48*($G48-$H48)-V48</f>
        <v>0</v>
      </c>
      <c r="X48" s="114">
        <f>S48*($G48-$H48)-SUM(V48:W48)</f>
        <v>0</v>
      </c>
      <c r="Y48" s="114">
        <f>T48*($G48-$H48)-SUM(V48:X48)</f>
        <v>0</v>
      </c>
      <c r="Z48" s="114">
        <f>U48*($G48-$H48)-SUM(V48:Y48)</f>
        <v>0</v>
      </c>
    </row>
    <row r="49" spans="1:27" s="10" customFormat="1" ht="21" customHeight="1" x14ac:dyDescent="0.25">
      <c r="A49" s="397"/>
      <c r="B49" s="382"/>
      <c r="C49" s="124" t="str">
        <f>+'RVK SVÆDI'!C27</f>
        <v>Öskjuhlíð-Nauthólsvegur nemendagarðar</v>
      </c>
      <c r="D49" s="116">
        <f>+'RVK SVÆDI'!D27</f>
        <v>1</v>
      </c>
      <c r="E49" s="129" t="str">
        <f>+'RVK SVÆDI'!E27</f>
        <v>Vatnsmýri</v>
      </c>
      <c r="F49" s="117" t="str">
        <f>+'RVK SVÆDI'!F27</f>
        <v>Hlíðaskóli</v>
      </c>
      <c r="G49" s="118"/>
      <c r="H49" s="118"/>
      <c r="I49" s="118"/>
      <c r="J49" s="119"/>
      <c r="K49" s="117"/>
      <c r="L49" s="120"/>
      <c r="M49" s="117"/>
      <c r="N49" s="120"/>
      <c r="O49" s="120"/>
      <c r="P49" s="117"/>
      <c r="Q49" s="121"/>
      <c r="R49" s="121"/>
      <c r="S49" s="121"/>
      <c r="T49" s="121"/>
      <c r="U49" s="121"/>
      <c r="V49" s="122"/>
      <c r="W49" s="122"/>
      <c r="X49" s="122"/>
      <c r="Y49" s="122"/>
      <c r="Z49" s="122"/>
      <c r="AA49" s="117"/>
    </row>
    <row r="50" spans="1:27" s="10" customFormat="1" ht="21" customHeight="1" x14ac:dyDescent="0.25">
      <c r="A50" s="397"/>
      <c r="B50" s="382"/>
      <c r="C50" s="124" t="str">
        <f>+'RVK SVÆDI'!C28</f>
        <v>Öskjuhlíð-Nauthólsvegur afgangur</v>
      </c>
      <c r="D50" s="116">
        <f>+'RVK SVÆDI'!D28</f>
        <v>2</v>
      </c>
      <c r="E50" s="129" t="str">
        <f>+'RVK SVÆDI'!E28</f>
        <v>Vatnsmýri</v>
      </c>
      <c r="F50" s="117" t="str">
        <f>+'RVK SVÆDI'!F28</f>
        <v>Hlíðaskóli</v>
      </c>
      <c r="G50" s="118"/>
      <c r="H50" s="118"/>
      <c r="I50" s="118"/>
      <c r="J50" s="119"/>
      <c r="K50" s="117"/>
      <c r="L50" s="120"/>
      <c r="M50" s="117"/>
      <c r="N50" s="120"/>
      <c r="O50" s="120"/>
      <c r="P50" s="117"/>
      <c r="Q50" s="121"/>
      <c r="R50" s="121"/>
      <c r="S50" s="121"/>
      <c r="T50" s="121"/>
      <c r="U50" s="121"/>
      <c r="V50" s="122"/>
      <c r="W50" s="122"/>
      <c r="X50" s="122"/>
      <c r="Y50" s="122"/>
      <c r="Z50" s="122"/>
      <c r="AA50" s="117"/>
    </row>
    <row r="51" spans="1:27" s="10" customFormat="1" ht="21" customHeight="1" x14ac:dyDescent="0.25">
      <c r="A51" s="397"/>
      <c r="B51" s="382"/>
      <c r="C51" s="124" t="str">
        <f>+'RVK SVÆDI'!C29</f>
        <v>Öskjuhlíð-Nauthólsvegur HR</v>
      </c>
      <c r="D51" s="116">
        <f>+'RVK SVÆDI'!D29</f>
        <v>2</v>
      </c>
      <c r="E51" s="129" t="str">
        <f>+'RVK SVÆDI'!E29</f>
        <v>Vatnsmýri</v>
      </c>
      <c r="F51" s="117" t="str">
        <f>+'RVK SVÆDI'!F29</f>
        <v>Hlíðaskóli</v>
      </c>
      <c r="G51" s="118">
        <v>115000</v>
      </c>
      <c r="H51" s="118">
        <v>0</v>
      </c>
      <c r="I51" s="118">
        <v>0</v>
      </c>
      <c r="J51" s="119">
        <f t="shared" ref="J51" si="33">+IF(D51=1,(G51-H51-I51),IF(D51=2,(G51-H51-I51),0))</f>
        <v>115000</v>
      </c>
      <c r="K51" s="117"/>
      <c r="L51" s="120">
        <v>16</v>
      </c>
      <c r="M51" s="117">
        <f t="shared" ref="M51" si="34">+L51*12</f>
        <v>192</v>
      </c>
      <c r="N51" s="120">
        <v>60</v>
      </c>
      <c r="O51" s="120">
        <v>14</v>
      </c>
      <c r="P51" s="117">
        <f t="shared" ref="P51" si="35">+N51+O51+18</f>
        <v>92</v>
      </c>
      <c r="Q51" s="121">
        <f>IFERROR(IF(AND((Q$236-$P51)/$M51&gt;0,(Q$236-$P51)/$M51&lt;1),(Q$236-$P51)/$M51,IF((Q$236-$P51)/$M51&gt;0,1,0)),0)</f>
        <v>0</v>
      </c>
      <c r="R51" s="121">
        <f>IFERROR(IF(AND((R$236-$P51)/$M51&gt;0,(R$236-$P51)/$M51&lt;1),(R$236-$P51)/$M51,IF((R$236-$P51)/$M51&gt;0,1,0)),0)</f>
        <v>0</v>
      </c>
      <c r="S51" s="121">
        <f>IFERROR(IF(AND((S$236-$P51)/$M51&gt;0,(S$236-$P51)/$M51&lt;1),(S$236-$P51)/$M51,IF((S$236-$P51)/$M51&gt;0,1,0)),0)</f>
        <v>0</v>
      </c>
      <c r="T51" s="121">
        <f>IFERROR(IF(AND((T$236-$P51)/$M51&gt;0,(T$236-$P51)/$M51&lt;1),(T$236-$P51)/$M51,IF((T$236-$P51)/$M51&gt;0,1,0)),0)</f>
        <v>0</v>
      </c>
      <c r="U51" s="121">
        <f>IFERROR(IF(AND((U$236-$P51)/$M51&gt;0,(U$236-$P51)/$M51&lt;1),(U$236-$P51)/$M51,IF((U$236-$P51)/$M51&gt;0,1,0)),0)</f>
        <v>0</v>
      </c>
      <c r="V51" s="122">
        <f t="shared" ref="V51" si="36">Q51*($G51-$H51)</f>
        <v>0</v>
      </c>
      <c r="W51" s="122">
        <f>R51*($G51-$H51)-V51</f>
        <v>0</v>
      </c>
      <c r="X51" s="122">
        <f>S51*($G51-$H51)-SUM(V51:W51)</f>
        <v>0</v>
      </c>
      <c r="Y51" s="122">
        <f>T51*($G51-$H51)-SUM(V51:X51)</f>
        <v>0</v>
      </c>
      <c r="Z51" s="122">
        <f>U51*($G51-$H51)-SUM(V51:Y51)</f>
        <v>0</v>
      </c>
      <c r="AA51" s="117"/>
    </row>
    <row r="52" spans="1:27" s="10" customFormat="1" ht="21" customHeight="1" x14ac:dyDescent="0.25">
      <c r="A52" s="397"/>
      <c r="B52" s="382"/>
      <c r="C52" s="124" t="str">
        <f>+'RVK SVÆDI'!C30</f>
        <v>Öskjuhlíð-Nauthólsvegur 79</v>
      </c>
      <c r="D52" s="116">
        <f>+'RVK SVÆDI'!D30</f>
        <v>2</v>
      </c>
      <c r="E52" s="129" t="str">
        <f>+'RVK SVÆDI'!E30</f>
        <v>Vatnsmýri</v>
      </c>
      <c r="F52" s="117" t="str">
        <f>+'RVK SVÆDI'!F30</f>
        <v>Hlíðaskóli</v>
      </c>
      <c r="G52" s="118"/>
      <c r="H52" s="118"/>
      <c r="I52" s="118"/>
      <c r="J52" s="119"/>
      <c r="K52" s="117"/>
      <c r="L52" s="120"/>
      <c r="M52" s="117"/>
      <c r="N52" s="120"/>
      <c r="O52" s="120"/>
      <c r="P52" s="117"/>
      <c r="Q52" s="121"/>
      <c r="R52" s="121"/>
      <c r="S52" s="121"/>
      <c r="T52" s="121"/>
      <c r="U52" s="121"/>
      <c r="V52" s="122"/>
      <c r="W52" s="122"/>
      <c r="X52" s="122"/>
      <c r="Y52" s="122"/>
      <c r="Z52" s="122"/>
      <c r="AA52" s="117"/>
    </row>
    <row r="53" spans="1:27" s="10" customFormat="1" ht="21" customHeight="1" x14ac:dyDescent="0.25">
      <c r="A53" s="397"/>
      <c r="B53" s="382"/>
      <c r="C53" s="124" t="str">
        <f>+'RVK SVÆDI'!C31</f>
        <v>Loftleiðareitur</v>
      </c>
      <c r="D53" s="116">
        <f>+'RVK SVÆDI'!D31</f>
        <v>4</v>
      </c>
      <c r="E53" s="129" t="str">
        <f>+'RVK SVÆDI'!E31</f>
        <v>Vatnsmýri</v>
      </c>
      <c r="F53" s="117" t="str">
        <f>+'RVK SVÆDI'!F31</f>
        <v>Vatnsmýri</v>
      </c>
      <c r="G53" s="118"/>
      <c r="H53" s="118"/>
      <c r="I53" s="118"/>
      <c r="J53" s="119"/>
      <c r="K53" s="117"/>
      <c r="L53" s="120"/>
      <c r="M53" s="117"/>
      <c r="N53" s="120"/>
      <c r="O53" s="120"/>
      <c r="P53" s="117"/>
      <c r="Q53" s="121"/>
      <c r="R53" s="121"/>
      <c r="S53" s="121"/>
      <c r="T53" s="121"/>
      <c r="U53" s="121"/>
      <c r="V53" s="122"/>
      <c r="W53" s="122"/>
      <c r="X53" s="122"/>
      <c r="Y53" s="122"/>
      <c r="Z53" s="122"/>
      <c r="AA53" s="117"/>
    </row>
    <row r="54" spans="1:27" ht="21" customHeight="1" x14ac:dyDescent="0.25">
      <c r="A54" s="397"/>
      <c r="B54" s="382"/>
      <c r="C54" s="7" t="str">
        <f>+'RVK SVÆDI'!C32</f>
        <v>Hlíðarendi C</v>
      </c>
      <c r="D54" s="8">
        <f>+'RVK SVÆDI'!D32</f>
        <v>1</v>
      </c>
      <c r="E54" s="6" t="str">
        <f>+'RVK SVÆDI'!E32</f>
        <v>Vatnsmýri</v>
      </c>
      <c r="F54" s="6" t="str">
        <f>+'RVK SVÆDI'!F32</f>
        <v>Hlíðaskóli</v>
      </c>
      <c r="G54" s="108">
        <v>1150</v>
      </c>
      <c r="H54" s="130">
        <v>1150</v>
      </c>
      <c r="I54" s="130">
        <v>0</v>
      </c>
      <c r="J54" s="109">
        <f t="shared" si="3"/>
        <v>0</v>
      </c>
      <c r="L54" s="110" t="s">
        <v>305</v>
      </c>
      <c r="M54" s="111"/>
      <c r="N54" s="111"/>
      <c r="O54" s="111"/>
      <c r="P54" s="111"/>
      <c r="Q54" s="111"/>
      <c r="R54" s="111"/>
      <c r="S54" s="111"/>
      <c r="T54" s="111"/>
      <c r="U54" s="111"/>
      <c r="V54" s="112">
        <v>0</v>
      </c>
      <c r="W54" s="375">
        <v>0</v>
      </c>
      <c r="X54" s="375">
        <v>900</v>
      </c>
      <c r="Y54" s="375">
        <v>250</v>
      </c>
      <c r="Z54" s="112">
        <v>0</v>
      </c>
    </row>
    <row r="55" spans="1:27" s="10" customFormat="1" ht="21" customHeight="1" x14ac:dyDescent="0.25">
      <c r="A55" s="397"/>
      <c r="B55" s="382"/>
      <c r="C55" s="124" t="str">
        <f>+'RVK SVÆDI'!C33</f>
        <v>Hlíðarendi D</v>
      </c>
      <c r="D55" s="116">
        <f>+'RVK SVÆDI'!D33</f>
        <v>1</v>
      </c>
      <c r="E55" s="129" t="str">
        <f>+'RVK SVÆDI'!E33</f>
        <v>Vatnsmýri</v>
      </c>
      <c r="F55" s="117" t="str">
        <f>+'RVK SVÆDI'!F33</f>
        <v>Hlíðaskóli</v>
      </c>
      <c r="G55" s="118">
        <v>1150</v>
      </c>
      <c r="H55" s="118">
        <v>0</v>
      </c>
      <c r="I55" s="118">
        <v>1150</v>
      </c>
      <c r="J55" s="119">
        <f t="shared" si="3"/>
        <v>0</v>
      </c>
      <c r="K55" s="117"/>
      <c r="L55" s="120" t="s">
        <v>305</v>
      </c>
      <c r="M55" s="117"/>
      <c r="N55" s="120"/>
      <c r="O55" s="120"/>
      <c r="P55" s="117"/>
      <c r="Q55" s="121"/>
      <c r="R55" s="121"/>
      <c r="S55" s="121"/>
      <c r="T55" s="121"/>
      <c r="U55" s="121"/>
      <c r="V55" s="122">
        <v>800</v>
      </c>
      <c r="W55" s="122">
        <v>350</v>
      </c>
      <c r="X55" s="122">
        <v>0</v>
      </c>
      <c r="Y55" s="122">
        <v>0</v>
      </c>
      <c r="Z55" s="122">
        <v>0</v>
      </c>
      <c r="AA55" s="117"/>
    </row>
    <row r="56" spans="1:27" s="10" customFormat="1" ht="21" customHeight="1" x14ac:dyDescent="0.25">
      <c r="A56" s="397"/>
      <c r="B56" s="382"/>
      <c r="C56" s="124" t="str">
        <f>+'RVK SVÆDI'!C34</f>
        <v>Hlíðarendi E</v>
      </c>
      <c r="D56" s="116">
        <f>+'RVK SVÆDI'!D34</f>
        <v>1</v>
      </c>
      <c r="E56" s="129" t="str">
        <f>+'RVK SVÆDI'!E34</f>
        <v>Vatnsmýri</v>
      </c>
      <c r="F56" s="117" t="str">
        <f>+'RVK SVÆDI'!F34</f>
        <v>Hlíðaskóli</v>
      </c>
      <c r="G56" s="118">
        <v>1500</v>
      </c>
      <c r="H56" s="118">
        <v>0</v>
      </c>
      <c r="I56" s="118">
        <v>1500</v>
      </c>
      <c r="J56" s="119">
        <f t="shared" si="3"/>
        <v>0</v>
      </c>
      <c r="K56" s="117"/>
      <c r="L56" s="120" t="s">
        <v>305</v>
      </c>
      <c r="M56" s="117"/>
      <c r="N56" s="120"/>
      <c r="O56" s="120"/>
      <c r="P56" s="117"/>
      <c r="Q56" s="121"/>
      <c r="R56" s="121"/>
      <c r="S56" s="121"/>
      <c r="T56" s="121"/>
      <c r="U56" s="121"/>
      <c r="V56" s="122">
        <v>1200</v>
      </c>
      <c r="W56" s="122">
        <v>300</v>
      </c>
      <c r="X56" s="122">
        <v>0</v>
      </c>
      <c r="Y56" s="122">
        <v>0</v>
      </c>
      <c r="Z56" s="122">
        <v>0</v>
      </c>
      <c r="AA56" s="117"/>
    </row>
    <row r="57" spans="1:27" s="10" customFormat="1" ht="21" customHeight="1" x14ac:dyDescent="0.25">
      <c r="A57" s="397"/>
      <c r="B57" s="382"/>
      <c r="C57" s="124" t="str">
        <f>+'RVK SVÆDI'!C35</f>
        <v>Hlíðarendi F</v>
      </c>
      <c r="D57" s="116">
        <f>+'RVK SVÆDI'!D35</f>
        <v>1</v>
      </c>
      <c r="E57" s="129" t="str">
        <f>+'RVK SVÆDI'!E35</f>
        <v>Vatnsmýri</v>
      </c>
      <c r="F57" s="117" t="str">
        <f>+'RVK SVÆDI'!F35</f>
        <v>Hlíðaskóli</v>
      </c>
      <c r="G57" s="118"/>
      <c r="H57" s="118"/>
      <c r="I57" s="118"/>
      <c r="J57" s="119"/>
      <c r="K57" s="117"/>
      <c r="L57" s="120"/>
      <c r="M57" s="117"/>
      <c r="N57" s="120"/>
      <c r="O57" s="120"/>
      <c r="P57" s="117"/>
      <c r="Q57" s="121"/>
      <c r="R57" s="121"/>
      <c r="S57" s="121"/>
      <c r="T57" s="121"/>
      <c r="U57" s="121"/>
      <c r="V57" s="122"/>
      <c r="W57" s="122"/>
      <c r="X57" s="122"/>
      <c r="Y57" s="122"/>
      <c r="Z57" s="122"/>
      <c r="AA57" s="117"/>
    </row>
    <row r="58" spans="1:27" ht="21" customHeight="1" x14ac:dyDescent="0.25">
      <c r="A58" s="397"/>
      <c r="B58" s="382"/>
      <c r="C58" s="7" t="str">
        <f>+'RVK SVÆDI'!C36</f>
        <v>Hlíðarendi reitir A,G,H,I</v>
      </c>
      <c r="D58" s="8">
        <f>+'RVK SVÆDI'!D36</f>
        <v>2</v>
      </c>
      <c r="E58" s="6" t="str">
        <f>+'RVK SVÆDI'!E36</f>
        <v>Vatnsmýri</v>
      </c>
      <c r="F58" s="6" t="str">
        <f>+'RVK SVÆDI'!F36</f>
        <v>Hlíðaskóli</v>
      </c>
      <c r="G58" s="108">
        <v>19950</v>
      </c>
      <c r="H58" s="108">
        <v>0</v>
      </c>
      <c r="I58" s="108">
        <v>0</v>
      </c>
      <c r="J58" s="109">
        <f t="shared" si="3"/>
        <v>19950</v>
      </c>
      <c r="L58" s="112">
        <v>4</v>
      </c>
      <c r="M58" s="6">
        <f t="shared" ref="M58" si="37">+L58*12</f>
        <v>48</v>
      </c>
      <c r="N58" s="112">
        <v>48</v>
      </c>
      <c r="O58" s="112">
        <v>16</v>
      </c>
      <c r="P58" s="6">
        <f t="shared" ref="P58" si="38">+N58+O58+18</f>
        <v>82</v>
      </c>
      <c r="Q58" s="113">
        <f>IFERROR(IF(AND((Q$236-$P58)/$M58&gt;0,(Q$236-$P58)/$M58&lt;1),(Q$236-$P58)/$M58,IF((Q$236-$P58)/$M58&gt;0,1,0)),0)</f>
        <v>0</v>
      </c>
      <c r="R58" s="113">
        <f>IFERROR(IF(AND((R$236-$P58)/$M58&gt;0,(R$236-$P58)/$M58&lt;1),(R$236-$P58)/$M58,IF((R$236-$P58)/$M58&gt;0,1,0)),0)</f>
        <v>0</v>
      </c>
      <c r="S58" s="113">
        <f>IFERROR(IF(AND((S$236-$P58)/$M58&gt;0,(S$236-$P58)/$M58&lt;1),(S$236-$P58)/$M58,IF((S$236-$P58)/$M58&gt;0,1,0)),0)</f>
        <v>0</v>
      </c>
      <c r="T58" s="113">
        <f>IFERROR(IF(AND((T$236-$P58)/$M58&gt;0,(T$236-$P58)/$M58&lt;1),(T$236-$P58)/$M58,IF((T$236-$P58)/$M58&gt;0,1,0)),0)</f>
        <v>0</v>
      </c>
      <c r="U58" s="113">
        <f>IFERROR(IF(AND((U$236-$P58)/$M58&gt;0,(U$236-$P58)/$M58&lt;1),(U$236-$P58)/$M58,IF((U$236-$P58)/$M58&gt;0,1,0)),0)</f>
        <v>0</v>
      </c>
      <c r="V58" s="114">
        <f t="shared" ref="V58" si="39">Q58*($G58-$H58)</f>
        <v>0</v>
      </c>
      <c r="W58" s="114">
        <f t="shared" ref="W58" si="40">R58*($G58-$H58)-V58</f>
        <v>0</v>
      </c>
      <c r="X58" s="114">
        <f t="shared" ref="X58" si="41">S58*($G58-$H58)-SUM(V58:W58)</f>
        <v>0</v>
      </c>
      <c r="Y58" s="114">
        <f t="shared" ref="Y58" si="42">T58*($G58-$H58)-SUM(V58:X58)</f>
        <v>0</v>
      </c>
      <c r="Z58" s="114">
        <f t="shared" ref="Z58" si="43">U58*($G58-$H58)-SUM(V58:Y58)</f>
        <v>0</v>
      </c>
    </row>
    <row r="59" spans="1:27" s="125" customFormat="1" ht="21" customHeight="1" x14ac:dyDescent="0.25">
      <c r="A59" s="397"/>
      <c r="B59" s="382"/>
      <c r="C59" s="7" t="str">
        <f>+'RVK SVÆDI'!C37</f>
        <v>Austurhöfn</v>
      </c>
      <c r="D59" s="8">
        <f>+'RVK SVÆDI'!D37</f>
        <v>1</v>
      </c>
      <c r="E59" s="6" t="str">
        <f>+'RVK SVÆDI'!E37</f>
        <v>Miðborg</v>
      </c>
      <c r="F59" s="6" t="str">
        <f>+'RVK SVÆDI'!F37</f>
        <v>Vesturbæjarskóli</v>
      </c>
      <c r="G59" s="108">
        <v>35700</v>
      </c>
      <c r="H59" s="130">
        <v>35700</v>
      </c>
      <c r="I59" s="130">
        <f t="shared" ref="I59:I85" si="44">+G59-H59</f>
        <v>0</v>
      </c>
      <c r="J59" s="109">
        <f t="shared" si="3"/>
        <v>0</v>
      </c>
      <c r="K59" s="131"/>
      <c r="L59" s="110" t="s">
        <v>305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08">
        <v>2200</v>
      </c>
      <c r="W59" s="108">
        <v>17000</v>
      </c>
      <c r="X59" s="108">
        <v>16500</v>
      </c>
      <c r="Y59" s="108">
        <v>0</v>
      </c>
      <c r="Z59" s="108">
        <v>0</v>
      </c>
      <c r="AA59" s="131"/>
    </row>
    <row r="60" spans="1:27" s="10" customFormat="1" ht="21" customHeight="1" x14ac:dyDescent="0.25">
      <c r="A60" s="397"/>
      <c r="B60" s="382"/>
      <c r="C60" s="124" t="str">
        <f>+'RVK SVÆDI'!C38</f>
        <v>Hafnartorg</v>
      </c>
      <c r="D60" s="116">
        <f>+'RVK SVÆDI'!D38</f>
        <v>1</v>
      </c>
      <c r="E60" s="129" t="str">
        <f>+'RVK SVÆDI'!E38</f>
        <v>Miðborg</v>
      </c>
      <c r="F60" s="117" t="str">
        <f>+'RVK SVÆDI'!F38</f>
        <v>Vesturbæjarskóli</v>
      </c>
      <c r="G60" s="118">
        <v>8600</v>
      </c>
      <c r="H60" s="118">
        <v>8600</v>
      </c>
      <c r="I60" s="118">
        <v>0</v>
      </c>
      <c r="J60" s="119">
        <f t="shared" si="3"/>
        <v>0</v>
      </c>
      <c r="K60" s="117"/>
      <c r="L60" s="120"/>
      <c r="M60" s="117"/>
      <c r="N60" s="120"/>
      <c r="O60" s="120"/>
      <c r="P60" s="117"/>
      <c r="Q60" s="121"/>
      <c r="R60" s="121"/>
      <c r="S60" s="121"/>
      <c r="T60" s="121"/>
      <c r="U60" s="121"/>
      <c r="V60" s="122"/>
      <c r="W60" s="122"/>
      <c r="X60" s="122"/>
      <c r="Y60" s="122"/>
      <c r="Z60" s="122"/>
      <c r="AA60" s="117"/>
    </row>
    <row r="61" spans="1:27" ht="21" customHeight="1" x14ac:dyDescent="0.25">
      <c r="A61" s="397"/>
      <c r="B61" s="382"/>
      <c r="C61" s="7" t="str">
        <f>+'RVK SVÆDI'!C39</f>
        <v>Alþingisreitur</v>
      </c>
      <c r="D61" s="8">
        <f>+'RVK SVÆDI'!D39</f>
        <v>1</v>
      </c>
      <c r="E61" s="6" t="str">
        <f>+'RVK SVÆDI'!E39</f>
        <v>Miðborg</v>
      </c>
      <c r="F61" s="6" t="str">
        <f>+'RVK SVÆDI'!F39</f>
        <v>Vesturbæjarskóli</v>
      </c>
      <c r="G61" s="108">
        <v>7400</v>
      </c>
      <c r="H61" s="108">
        <v>0</v>
      </c>
      <c r="I61" s="130">
        <v>7400</v>
      </c>
      <c r="J61" s="109">
        <f t="shared" si="3"/>
        <v>0</v>
      </c>
      <c r="L61" s="112">
        <v>1</v>
      </c>
      <c r="M61" s="6">
        <f t="shared" ref="M61:M63" si="45">+L61*12</f>
        <v>12</v>
      </c>
      <c r="N61" s="112">
        <v>-6</v>
      </c>
      <c r="O61" s="112">
        <v>0</v>
      </c>
      <c r="P61" s="6">
        <f>+N61+O61+36</f>
        <v>30</v>
      </c>
      <c r="Q61" s="113">
        <f t="shared" ref="Q61:U64" si="46">IFERROR(IF(AND((Q$236-$P61)/$M61&gt;0,(Q$236-$P61)/$M61&lt;1),(Q$236-$P61)/$M61,IF((Q$236-$P61)/$M61&gt;0,1,0)),0)</f>
        <v>0</v>
      </c>
      <c r="R61" s="113">
        <f t="shared" si="46"/>
        <v>0</v>
      </c>
      <c r="S61" s="113">
        <f t="shared" si="46"/>
        <v>0</v>
      </c>
      <c r="T61" s="113">
        <f t="shared" si="46"/>
        <v>1</v>
      </c>
      <c r="U61" s="113">
        <f t="shared" si="46"/>
        <v>1</v>
      </c>
      <c r="V61" s="114">
        <f t="shared" ref="V61:V63" si="47">Q61*($G61-$H61)</f>
        <v>0</v>
      </c>
      <c r="W61" s="114">
        <f t="shared" ref="W61:W63" si="48">R61*($G61-$H61)-V61</f>
        <v>0</v>
      </c>
      <c r="X61" s="114">
        <f t="shared" ref="X61" si="49">S61*($G61-$H61)-SUM(V61:W61)</f>
        <v>0</v>
      </c>
      <c r="Y61" s="114">
        <f t="shared" ref="Y61" si="50">T61*($G61-$H61)-SUM(V61:X61)</f>
        <v>7400</v>
      </c>
      <c r="Z61" s="114">
        <f t="shared" ref="Z61:Z63" si="51">U61*($G61-$H61)-SUM(V61:Y61)</f>
        <v>0</v>
      </c>
    </row>
    <row r="62" spans="1:27" ht="21" customHeight="1" x14ac:dyDescent="0.25">
      <c r="A62" s="397"/>
      <c r="B62" s="382"/>
      <c r="C62" s="7" t="str">
        <f>+'RVK SVÆDI'!C40</f>
        <v>Stjórnarráðsreitur</v>
      </c>
      <c r="D62" s="8">
        <f>+'RVK SVÆDI'!D40</f>
        <v>3</v>
      </c>
      <c r="E62" s="6" t="str">
        <f>+'RVK SVÆDI'!E40</f>
        <v>Miðborg</v>
      </c>
      <c r="F62" s="6" t="str">
        <f>+'RVK SVÆDI'!F40</f>
        <v>Vesturbæjarskóli</v>
      </c>
      <c r="G62" s="108">
        <v>24000</v>
      </c>
      <c r="H62" s="108">
        <v>0</v>
      </c>
      <c r="I62" s="108">
        <v>0</v>
      </c>
      <c r="J62" s="109">
        <f t="shared" si="3"/>
        <v>0</v>
      </c>
      <c r="L62" s="112">
        <v>20</v>
      </c>
      <c r="M62" s="6">
        <f t="shared" si="45"/>
        <v>240</v>
      </c>
      <c r="N62" s="112">
        <v>48</v>
      </c>
      <c r="O62" s="112">
        <v>12</v>
      </c>
      <c r="P62" s="6">
        <f>+N62+O62+24</f>
        <v>84</v>
      </c>
      <c r="Q62" s="113">
        <f t="shared" si="46"/>
        <v>0</v>
      </c>
      <c r="R62" s="113">
        <f t="shared" si="46"/>
        <v>0</v>
      </c>
      <c r="S62" s="113">
        <f t="shared" si="46"/>
        <v>0</v>
      </c>
      <c r="T62" s="113">
        <f t="shared" si="46"/>
        <v>0</v>
      </c>
      <c r="U62" s="113">
        <f t="shared" si="46"/>
        <v>0</v>
      </c>
      <c r="V62" s="114">
        <f t="shared" si="47"/>
        <v>0</v>
      </c>
      <c r="W62" s="114">
        <f t="shared" si="48"/>
        <v>0</v>
      </c>
      <c r="X62" s="114">
        <f t="shared" ref="X62:X63" si="52">S62*($G62-$H62)-SUM(V62:W62)</f>
        <v>0</v>
      </c>
      <c r="Y62" s="114">
        <f t="shared" ref="Y62:Y63" si="53">T62*($G62-$H62)-SUM(V62:X62)</f>
        <v>0</v>
      </c>
      <c r="Z62" s="114">
        <f t="shared" si="51"/>
        <v>0</v>
      </c>
    </row>
    <row r="63" spans="1:27" ht="21" customHeight="1" x14ac:dyDescent="0.25">
      <c r="A63" s="397"/>
      <c r="B63" s="382"/>
      <c r="C63" s="7" t="str">
        <f>+'RVK SVÆDI'!C41</f>
        <v>Stjórnarráð viðbygging</v>
      </c>
      <c r="D63" s="374">
        <v>2</v>
      </c>
      <c r="E63" s="6" t="str">
        <f>+'RVK SVÆDI'!E41</f>
        <v>Miðborg</v>
      </c>
      <c r="F63" s="6" t="str">
        <f>+'RVK SVÆDI'!F41</f>
        <v>Vesturbæjarskóli</v>
      </c>
      <c r="G63" s="108">
        <v>2000</v>
      </c>
      <c r="H63" s="108">
        <v>0</v>
      </c>
      <c r="I63" s="130">
        <v>2000</v>
      </c>
      <c r="J63" s="109">
        <f t="shared" si="3"/>
        <v>0</v>
      </c>
      <c r="L63" s="112">
        <v>0.5</v>
      </c>
      <c r="M63" s="6">
        <f t="shared" si="45"/>
        <v>6</v>
      </c>
      <c r="N63" s="112">
        <v>6</v>
      </c>
      <c r="O63" s="112">
        <v>18</v>
      </c>
      <c r="P63" s="6">
        <f>+N63+O63+18</f>
        <v>42</v>
      </c>
      <c r="Q63" s="113">
        <f t="shared" si="46"/>
        <v>0</v>
      </c>
      <c r="R63" s="113">
        <f t="shared" si="46"/>
        <v>0</v>
      </c>
      <c r="S63" s="113">
        <f t="shared" si="46"/>
        <v>0</v>
      </c>
      <c r="T63" s="113">
        <f t="shared" si="46"/>
        <v>0</v>
      </c>
      <c r="U63" s="113">
        <f t="shared" si="46"/>
        <v>1</v>
      </c>
      <c r="V63" s="114">
        <f t="shared" si="47"/>
        <v>0</v>
      </c>
      <c r="W63" s="114">
        <f t="shared" si="48"/>
        <v>0</v>
      </c>
      <c r="X63" s="114">
        <f t="shared" si="52"/>
        <v>0</v>
      </c>
      <c r="Y63" s="114">
        <f t="shared" si="53"/>
        <v>0</v>
      </c>
      <c r="Z63" s="114">
        <f t="shared" si="51"/>
        <v>2000</v>
      </c>
    </row>
    <row r="64" spans="1:27" ht="21" customHeight="1" x14ac:dyDescent="0.25">
      <c r="A64" s="397"/>
      <c r="B64" s="382"/>
      <c r="C64" s="7" t="str">
        <f>+'RVK SVÆDI'!C42</f>
        <v>Miðborg - Kvos-Miðbakki</v>
      </c>
      <c r="D64" s="8">
        <f>+'RVK SVÆDI'!D42</f>
        <v>4</v>
      </c>
      <c r="E64" s="6" t="str">
        <f>+'RVK SVÆDI'!E42</f>
        <v>Miðborg</v>
      </c>
      <c r="F64" s="6" t="str">
        <f>+'RVK SVÆDI'!F42</f>
        <v>Vesturbæjarskóli</v>
      </c>
      <c r="G64" s="108">
        <v>5000</v>
      </c>
      <c r="H64" s="108">
        <v>0</v>
      </c>
      <c r="I64" s="108">
        <v>0</v>
      </c>
      <c r="J64" s="109">
        <f t="shared" si="3"/>
        <v>0</v>
      </c>
      <c r="L64" s="112">
        <v>2</v>
      </c>
      <c r="M64" s="6">
        <f t="shared" si="6"/>
        <v>24</v>
      </c>
      <c r="N64" s="112">
        <v>60</v>
      </c>
      <c r="O64" s="112">
        <v>16</v>
      </c>
      <c r="P64" s="6">
        <f t="shared" ref="P64" si="54">+N64+O64+18</f>
        <v>94</v>
      </c>
      <c r="Q64" s="113">
        <f t="shared" si="46"/>
        <v>0</v>
      </c>
      <c r="R64" s="113">
        <f t="shared" si="46"/>
        <v>0</v>
      </c>
      <c r="S64" s="113">
        <f t="shared" si="46"/>
        <v>0</v>
      </c>
      <c r="T64" s="113">
        <f t="shared" si="46"/>
        <v>0</v>
      </c>
      <c r="U64" s="113">
        <f t="shared" si="46"/>
        <v>0</v>
      </c>
      <c r="V64" s="114">
        <f t="shared" si="32"/>
        <v>0</v>
      </c>
      <c r="W64" s="114">
        <f>R64*($G64-$H64)-V64</f>
        <v>0</v>
      </c>
      <c r="X64" s="114">
        <f>S64*($G64-$H64)-SUM(V64:W64)</f>
        <v>0</v>
      </c>
      <c r="Y64" s="114">
        <f>T64*($G64-$H64)-SUM(V64:X64)</f>
        <v>0</v>
      </c>
      <c r="Z64" s="114">
        <f>U64*($G64-$H64)-SUM(V64:Y64)</f>
        <v>0</v>
      </c>
    </row>
    <row r="65" spans="1:27" s="10" customFormat="1" ht="21" customHeight="1" x14ac:dyDescent="0.25">
      <c r="A65" s="397"/>
      <c r="B65" s="382"/>
      <c r="C65" s="124" t="str">
        <f>+'RVK SVÆDI'!C43</f>
        <v>Nýlendureitur</v>
      </c>
      <c r="D65" s="116">
        <f>+'RVK SVÆDI'!D43</f>
        <v>1</v>
      </c>
      <c r="E65" s="129" t="str">
        <f>+'RVK SVÆDI'!E43</f>
        <v>Miðborg</v>
      </c>
      <c r="F65" s="117" t="str">
        <f>+'RVK SVÆDI'!F43</f>
        <v>Vesturbæjarskóli</v>
      </c>
      <c r="G65" s="118"/>
      <c r="H65" s="118"/>
      <c r="I65" s="118"/>
      <c r="J65" s="119"/>
      <c r="K65" s="117"/>
      <c r="L65" s="120"/>
      <c r="M65" s="117"/>
      <c r="N65" s="120"/>
      <c r="O65" s="120"/>
      <c r="P65" s="117"/>
      <c r="Q65" s="121"/>
      <c r="R65" s="121"/>
      <c r="S65" s="121"/>
      <c r="T65" s="121"/>
      <c r="U65" s="121"/>
      <c r="V65" s="122"/>
      <c r="W65" s="122"/>
      <c r="X65" s="122"/>
      <c r="Y65" s="122"/>
      <c r="Z65" s="122"/>
      <c r="AA65" s="117"/>
    </row>
    <row r="66" spans="1:27" s="125" customFormat="1" ht="21" customHeight="1" x14ac:dyDescent="0.25">
      <c r="A66" s="397"/>
      <c r="B66" s="382"/>
      <c r="C66" s="7" t="str">
        <f>+'RVK SVÆDI'!C44</f>
        <v>Miðborg -Laugavegur (afgangur)</v>
      </c>
      <c r="D66" s="8">
        <f>+'RVK SVÆDI'!D44</f>
        <v>4</v>
      </c>
      <c r="E66" s="6" t="str">
        <f>+'RVK SVÆDI'!E44</f>
        <v>Miðborg</v>
      </c>
      <c r="F66" s="6" t="str">
        <f>+'RVK SVÆDI'!F44</f>
        <v>Austurbæjarskóli</v>
      </c>
      <c r="G66" s="108">
        <f>140000-SUM(G27:G28,G59:G64,G70:G74)</f>
        <v>30310</v>
      </c>
      <c r="H66" s="108">
        <v>0</v>
      </c>
      <c r="I66" s="108">
        <v>0</v>
      </c>
      <c r="J66" s="109">
        <f t="shared" si="3"/>
        <v>0</v>
      </c>
      <c r="K66" s="131"/>
      <c r="L66" s="112">
        <v>20</v>
      </c>
      <c r="M66" s="6">
        <f t="shared" ref="M66" si="55">+L66*12</f>
        <v>240</v>
      </c>
      <c r="N66" s="112">
        <v>60</v>
      </c>
      <c r="O66" s="112">
        <v>14</v>
      </c>
      <c r="P66" s="6">
        <f t="shared" ref="P66" si="56">+N66+O66+18</f>
        <v>92</v>
      </c>
      <c r="Q66" s="113">
        <f>IFERROR(IF(AND((Q$236-$P66)/$M66&gt;0,(Q$236-$P66)/$M66&lt;1),(Q$236-$P66)/$M66,IF((Q$236-$P66)/$M66&gt;0,1,0)),0)</f>
        <v>0</v>
      </c>
      <c r="R66" s="113">
        <f>IFERROR(IF(AND((R$236-$P66)/$M66&gt;0,(R$236-$P66)/$M66&lt;1),(R$236-$P66)/$M66,IF((R$236-$P66)/$M66&gt;0,1,0)),0)</f>
        <v>0</v>
      </c>
      <c r="S66" s="113">
        <f>IFERROR(IF(AND((S$236-$P66)/$M66&gt;0,(S$236-$P66)/$M66&lt;1),(S$236-$P66)/$M66,IF((S$236-$P66)/$M66&gt;0,1,0)),0)</f>
        <v>0</v>
      </c>
      <c r="T66" s="113">
        <f>IFERROR(IF(AND((T$236-$P66)/$M66&gt;0,(T$236-$P66)/$M66&lt;1),(T$236-$P66)/$M66,IF((T$236-$P66)/$M66&gt;0,1,0)),0)</f>
        <v>0</v>
      </c>
      <c r="U66" s="113">
        <f>IFERROR(IF(AND((U$236-$P66)/$M66&gt;0,(U$236-$P66)/$M66&lt;1),(U$236-$P66)/$M66,IF((U$236-$P66)/$M66&gt;0,1,0)),0)</f>
        <v>0</v>
      </c>
      <c r="V66" s="114">
        <f t="shared" si="32"/>
        <v>0</v>
      </c>
      <c r="W66" s="114">
        <f>R66*($G66-$H66)-V66</f>
        <v>0</v>
      </c>
      <c r="X66" s="114">
        <f>S66*($G66-$H66)-SUM(V66:W66)</f>
        <v>0</v>
      </c>
      <c r="Y66" s="114">
        <f>T66*($G66-$H66)-SUM(V66:X66)</f>
        <v>0</v>
      </c>
      <c r="Z66" s="114">
        <f>U66*($G66-$H66)-SUM(V66:Y66)</f>
        <v>0</v>
      </c>
      <c r="AA66" s="131"/>
    </row>
    <row r="67" spans="1:27" s="10" customFormat="1" ht="21" customHeight="1" x14ac:dyDescent="0.25">
      <c r="A67" s="397"/>
      <c r="B67" s="382"/>
      <c r="C67" s="124" t="str">
        <f>+'RVK SVÆDI'!C45</f>
        <v>Brynjureitur</v>
      </c>
      <c r="D67" s="116">
        <f>+'RVK SVÆDI'!D45</f>
        <v>1</v>
      </c>
      <c r="E67" s="129" t="str">
        <f>+'RVK SVÆDI'!E45</f>
        <v>Miðborg</v>
      </c>
      <c r="F67" s="117" t="str">
        <f>+'RVK SVÆDI'!F45</f>
        <v>Austurbæjarskóli</v>
      </c>
      <c r="G67" s="118"/>
      <c r="H67" s="118"/>
      <c r="I67" s="118"/>
      <c r="J67" s="119"/>
      <c r="K67" s="117"/>
      <c r="L67" s="120"/>
      <c r="M67" s="117"/>
      <c r="N67" s="120"/>
      <c r="O67" s="120"/>
      <c r="P67" s="117"/>
      <c r="Q67" s="121"/>
      <c r="R67" s="121"/>
      <c r="S67" s="121"/>
      <c r="T67" s="121"/>
      <c r="U67" s="121"/>
      <c r="V67" s="122"/>
      <c r="W67" s="122"/>
      <c r="X67" s="122"/>
      <c r="Y67" s="122"/>
      <c r="Z67" s="122"/>
      <c r="AA67" s="117"/>
    </row>
    <row r="68" spans="1:27" s="10" customFormat="1" ht="21" customHeight="1" x14ac:dyDescent="0.25">
      <c r="A68" s="397"/>
      <c r="B68" s="382"/>
      <c r="C68" s="124" t="str">
        <f>+'RVK SVÆDI'!C46</f>
        <v>Barónsreitur - Hverfisgata 85-93</v>
      </c>
      <c r="D68" s="116">
        <f>+'RVK SVÆDI'!D46</f>
        <v>1</v>
      </c>
      <c r="E68" s="129" t="str">
        <f>+'RVK SVÆDI'!E46</f>
        <v>Miðborg</v>
      </c>
      <c r="F68" s="117" t="str">
        <f>+'RVK SVÆDI'!F46</f>
        <v>Austurbæjarskóli</v>
      </c>
      <c r="G68" s="118"/>
      <c r="H68" s="118"/>
      <c r="I68" s="118"/>
      <c r="J68" s="119"/>
      <c r="K68" s="117"/>
      <c r="L68" s="120"/>
      <c r="M68" s="117"/>
      <c r="N68" s="120"/>
      <c r="O68" s="120"/>
      <c r="P68" s="117"/>
      <c r="Q68" s="121"/>
      <c r="R68" s="121"/>
      <c r="S68" s="121"/>
      <c r="T68" s="121"/>
      <c r="U68" s="121"/>
      <c r="V68" s="122"/>
      <c r="W68" s="122"/>
      <c r="X68" s="122"/>
      <c r="Y68" s="122"/>
      <c r="Z68" s="122"/>
      <c r="AA68" s="117"/>
    </row>
    <row r="69" spans="1:27" s="10" customFormat="1" ht="21" customHeight="1" x14ac:dyDescent="0.25">
      <c r="A69" s="397"/>
      <c r="B69" s="382"/>
      <c r="C69" s="124" t="str">
        <f>+'RVK SVÆDI'!C47</f>
        <v>Hverfisgata 94-96</v>
      </c>
      <c r="D69" s="116">
        <f>+'RVK SVÆDI'!D47</f>
        <v>1</v>
      </c>
      <c r="E69" s="129" t="str">
        <f>+'RVK SVÆDI'!E47</f>
        <v>Miðborg</v>
      </c>
      <c r="F69" s="117" t="str">
        <f>+'RVK SVÆDI'!F47</f>
        <v>Austurbæjarskóli</v>
      </c>
      <c r="G69" s="118"/>
      <c r="H69" s="118"/>
      <c r="I69" s="118"/>
      <c r="J69" s="119"/>
      <c r="K69" s="117"/>
      <c r="L69" s="120"/>
      <c r="M69" s="117"/>
      <c r="N69" s="120"/>
      <c r="O69" s="120"/>
      <c r="P69" s="117"/>
      <c r="Q69" s="121"/>
      <c r="R69" s="121"/>
      <c r="S69" s="121"/>
      <c r="T69" s="121"/>
      <c r="U69" s="121"/>
      <c r="V69" s="122"/>
      <c r="W69" s="122"/>
      <c r="X69" s="122"/>
      <c r="Y69" s="122"/>
      <c r="Z69" s="122"/>
      <c r="AA69" s="117"/>
    </row>
    <row r="70" spans="1:27" s="10" customFormat="1" ht="21" customHeight="1" x14ac:dyDescent="0.25">
      <c r="A70" s="397"/>
      <c r="B70" s="382"/>
      <c r="C70" s="124" t="str">
        <f>+'RVK SVÆDI'!C48</f>
        <v>Barónsreitur-Hverfisgata 88-92</v>
      </c>
      <c r="D70" s="116">
        <f>+'RVK SVÆDI'!D48</f>
        <v>1</v>
      </c>
      <c r="E70" s="129" t="str">
        <f>+'RVK SVÆDI'!E48</f>
        <v>Miðborg</v>
      </c>
      <c r="F70" s="117" t="str">
        <f>+'RVK SVÆDI'!F48</f>
        <v>Austurbæjarskóli</v>
      </c>
      <c r="G70" s="118">
        <v>1290</v>
      </c>
      <c r="H70" s="118">
        <v>1290</v>
      </c>
      <c r="I70" s="118">
        <f t="shared" si="44"/>
        <v>0</v>
      </c>
      <c r="J70" s="119">
        <f t="shared" si="3"/>
        <v>0</v>
      </c>
      <c r="K70" s="117"/>
      <c r="L70" s="120"/>
      <c r="M70" s="117"/>
      <c r="N70" s="120"/>
      <c r="O70" s="120"/>
      <c r="P70" s="117"/>
      <c r="Q70" s="121"/>
      <c r="R70" s="121"/>
      <c r="S70" s="121"/>
      <c r="T70" s="121"/>
      <c r="U70" s="121"/>
      <c r="V70" s="122"/>
      <c r="W70" s="122"/>
      <c r="X70" s="122"/>
      <c r="Y70" s="122"/>
      <c r="Z70" s="122"/>
      <c r="AA70" s="117"/>
    </row>
    <row r="71" spans="1:27" s="10" customFormat="1" ht="21" customHeight="1" x14ac:dyDescent="0.25">
      <c r="A71" s="397"/>
      <c r="B71" s="382"/>
      <c r="C71" s="124" t="str">
        <f>+'RVK SVÆDI'!C49</f>
        <v>Hverfisgata 98-100a</v>
      </c>
      <c r="D71" s="116">
        <f>+'RVK SVÆDI'!D49</f>
        <v>2</v>
      </c>
      <c r="E71" s="129" t="str">
        <f>+'RVK SVÆDI'!E49</f>
        <v>Miðborg</v>
      </c>
      <c r="F71" s="117" t="str">
        <f>+'RVK SVÆDI'!F49</f>
        <v>Austurbæjarskóli</v>
      </c>
      <c r="G71" s="118"/>
      <c r="H71" s="118"/>
      <c r="I71" s="118"/>
      <c r="J71" s="119"/>
      <c r="K71" s="117"/>
      <c r="L71" s="120"/>
      <c r="M71" s="117"/>
      <c r="N71" s="120"/>
      <c r="O71" s="120"/>
      <c r="P71" s="117"/>
      <c r="Q71" s="121"/>
      <c r="R71" s="121"/>
      <c r="S71" s="121"/>
      <c r="T71" s="121"/>
      <c r="U71" s="121"/>
      <c r="V71" s="122"/>
      <c r="W71" s="122"/>
      <c r="X71" s="122"/>
      <c r="Y71" s="122"/>
      <c r="Z71" s="122"/>
      <c r="AA71" s="117"/>
    </row>
    <row r="72" spans="1:27" s="125" customFormat="1" ht="21" customHeight="1" x14ac:dyDescent="0.25">
      <c r="A72" s="397"/>
      <c r="B72" s="382"/>
      <c r="C72" s="7" t="str">
        <f>+'RVK SVÆDI'!C50</f>
        <v>Barónsreitur-Skúlagata 26-Vitastígur 3</v>
      </c>
      <c r="D72" s="8">
        <f>+'RVK SVÆDI'!D50</f>
        <v>1</v>
      </c>
      <c r="E72" s="6" t="str">
        <f>+'RVK SVÆDI'!E50</f>
        <v>Miðborg</v>
      </c>
      <c r="F72" s="6" t="str">
        <f>+'RVK SVÆDI'!F50</f>
        <v>Austurbæjarskóli</v>
      </c>
      <c r="G72" s="108">
        <v>12000</v>
      </c>
      <c r="H72" s="108">
        <v>0</v>
      </c>
      <c r="I72" s="108">
        <f t="shared" si="44"/>
        <v>12000</v>
      </c>
      <c r="J72" s="109">
        <f t="shared" si="3"/>
        <v>0</v>
      </c>
      <c r="K72" s="131"/>
      <c r="L72" s="112">
        <v>1</v>
      </c>
      <c r="M72" s="6">
        <f t="shared" si="6"/>
        <v>12</v>
      </c>
      <c r="N72" s="112">
        <v>0</v>
      </c>
      <c r="O72" s="112">
        <v>6</v>
      </c>
      <c r="P72" s="6">
        <f>+N72+O72+36</f>
        <v>42</v>
      </c>
      <c r="Q72" s="113">
        <f>IFERROR(IF(AND((Q$236-$P72)/$M72&gt;0,(Q$236-$P72)/$M72&lt;1),(Q$236-$P72)/$M72,IF((Q$236-$P72)/$M72&gt;0,1,0)),0)</f>
        <v>0</v>
      </c>
      <c r="R72" s="113">
        <f>IFERROR(IF(AND((R$236-$P72)/$M72&gt;0,(R$236-$P72)/$M72&lt;1),(R$236-$P72)/$M72,IF((R$236-$P72)/$M72&gt;0,1,0)),0)</f>
        <v>0</v>
      </c>
      <c r="S72" s="113">
        <f>IFERROR(IF(AND((S$236-$P72)/$M72&gt;0,(S$236-$P72)/$M72&lt;1),(S$236-$P72)/$M72,IF((S$236-$P72)/$M72&gt;0,1,0)),0)</f>
        <v>0</v>
      </c>
      <c r="T72" s="113">
        <f>IFERROR(IF(AND((T$236-$P72)/$M72&gt;0,(T$236-$P72)/$M72&lt;1),(T$236-$P72)/$M72,IF((T$236-$P72)/$M72&gt;0,1,0)),0)</f>
        <v>0</v>
      </c>
      <c r="U72" s="113">
        <f>IFERROR(IF(AND((U$236-$P72)/$M72&gt;0,(U$236-$P72)/$M72&lt;1),(U$236-$P72)/$M72,IF((U$236-$P72)/$M72&gt;0,1,0)),0)</f>
        <v>1</v>
      </c>
      <c r="V72" s="114">
        <f t="shared" si="32"/>
        <v>0</v>
      </c>
      <c r="W72" s="114">
        <f>R72*($G72-$H72)-V72</f>
        <v>0</v>
      </c>
      <c r="X72" s="114">
        <f>S72*($G72-$H72)-SUM(V72:W72)</f>
        <v>0</v>
      </c>
      <c r="Y72" s="114">
        <f>T72*($G72-$H72)-SUM(V72:X72)</f>
        <v>0</v>
      </c>
      <c r="Z72" s="114">
        <f>U72*($G72-$H72)-SUM(V72:Y72)</f>
        <v>12000</v>
      </c>
      <c r="AA72" s="131"/>
    </row>
    <row r="73" spans="1:27" s="10" customFormat="1" ht="21" customHeight="1" x14ac:dyDescent="0.25">
      <c r="A73" s="397"/>
      <c r="B73" s="382"/>
      <c r="C73" s="124" t="str">
        <f>+'RVK SVÆDI'!C51</f>
        <v>Frakkastígur 1</v>
      </c>
      <c r="D73" s="116">
        <f>+'RVK SVÆDI'!D51</f>
        <v>2</v>
      </c>
      <c r="E73" s="129" t="str">
        <f>+'RVK SVÆDI'!E51</f>
        <v>Miðborg</v>
      </c>
      <c r="F73" s="117" t="str">
        <f>+'RVK SVÆDI'!F51</f>
        <v>Austurbæjarskóli</v>
      </c>
      <c r="G73" s="118"/>
      <c r="H73" s="118"/>
      <c r="I73" s="118"/>
      <c r="J73" s="119"/>
      <c r="K73" s="117"/>
      <c r="L73" s="120"/>
      <c r="M73" s="117"/>
      <c r="N73" s="120"/>
      <c r="O73" s="120"/>
      <c r="P73" s="117"/>
      <c r="Q73" s="121"/>
      <c r="R73" s="121"/>
      <c r="S73" s="121"/>
      <c r="T73" s="121"/>
      <c r="U73" s="121"/>
      <c r="V73" s="122"/>
      <c r="W73" s="122"/>
      <c r="X73" s="122"/>
      <c r="Y73" s="122"/>
      <c r="Z73" s="122"/>
      <c r="AA73" s="117"/>
    </row>
    <row r="74" spans="1:27" s="125" customFormat="1" ht="21" customHeight="1" x14ac:dyDescent="0.25">
      <c r="A74" s="397"/>
      <c r="B74" s="382"/>
      <c r="C74" s="7" t="str">
        <f>+'RVK SVÆDI'!C52</f>
        <v>Vatnsstígsreitur</v>
      </c>
      <c r="D74" s="8">
        <f>+'RVK SVÆDI'!D52</f>
        <v>1</v>
      </c>
      <c r="E74" s="6" t="str">
        <f>+'RVK SVÆDI'!E52</f>
        <v>Miðborg</v>
      </c>
      <c r="F74" s="6" t="str">
        <f>+'RVK SVÆDI'!F52</f>
        <v>Austurbæjarskóli</v>
      </c>
      <c r="G74" s="108">
        <v>4000</v>
      </c>
      <c r="H74" s="108">
        <v>0</v>
      </c>
      <c r="I74" s="108">
        <v>0</v>
      </c>
      <c r="J74" s="109">
        <f t="shared" si="3"/>
        <v>4000</v>
      </c>
      <c r="K74" s="131"/>
      <c r="L74" s="112">
        <v>1</v>
      </c>
      <c r="M74" s="6">
        <f t="shared" si="6"/>
        <v>12</v>
      </c>
      <c r="N74" s="112">
        <v>24</v>
      </c>
      <c r="O74" s="112">
        <v>14</v>
      </c>
      <c r="P74" s="6">
        <f t="shared" ref="P74:P135" si="57">+N74+O74+18</f>
        <v>56</v>
      </c>
      <c r="Q74" s="113">
        <f t="shared" ref="Q74:U77" si="58">IFERROR(IF(AND((Q$236-$P74)/$M74&gt;0,(Q$236-$P74)/$M74&lt;1),(Q$236-$P74)/$M74,IF((Q$236-$P74)/$M74&gt;0,1,0)),0)</f>
        <v>0</v>
      </c>
      <c r="R74" s="113">
        <f t="shared" si="58"/>
        <v>0</v>
      </c>
      <c r="S74" s="113">
        <f t="shared" si="58"/>
        <v>0</v>
      </c>
      <c r="T74" s="113">
        <f t="shared" si="58"/>
        <v>0</v>
      </c>
      <c r="U74" s="113">
        <f t="shared" si="58"/>
        <v>0</v>
      </c>
      <c r="V74" s="114">
        <f t="shared" si="32"/>
        <v>0</v>
      </c>
      <c r="W74" s="114">
        <f>R74*($G74-$H74)-V74</f>
        <v>0</v>
      </c>
      <c r="X74" s="114">
        <f>S74*($G74-$H74)-SUM(V74:W74)</f>
        <v>0</v>
      </c>
      <c r="Y74" s="114">
        <f>T74*($G74-$H74)-SUM(V74:X74)</f>
        <v>0</v>
      </c>
      <c r="Z74" s="114">
        <f>U74*($G74-$H74)-SUM(V74:Y74)</f>
        <v>0</v>
      </c>
      <c r="AA74" s="131"/>
    </row>
    <row r="75" spans="1:27" ht="21" customHeight="1" x14ac:dyDescent="0.25">
      <c r="A75" s="397"/>
      <c r="B75" s="382"/>
      <c r="C75" s="7" t="str">
        <f>+'RVK SVÆDI'!C53</f>
        <v>Grettisgata fjölskyldumiðstöð</v>
      </c>
      <c r="D75" s="8">
        <f>+'RVK SVÆDI'!D53</f>
        <v>2</v>
      </c>
      <c r="E75" s="6" t="str">
        <f>+'RVK SVÆDI'!E53</f>
        <v>Miðborg</v>
      </c>
      <c r="F75" s="6" t="str">
        <f>+'RVK SVÆDI'!F53</f>
        <v>Austurbæjarskóli</v>
      </c>
      <c r="G75" s="108">
        <v>1200</v>
      </c>
      <c r="H75" s="108">
        <v>0</v>
      </c>
      <c r="I75" s="108">
        <v>0</v>
      </c>
      <c r="J75" s="109">
        <f t="shared" si="3"/>
        <v>1200</v>
      </c>
      <c r="L75" s="112">
        <v>1</v>
      </c>
      <c r="M75" s="6">
        <f t="shared" si="6"/>
        <v>12</v>
      </c>
      <c r="N75" s="112">
        <v>0</v>
      </c>
      <c r="O75" s="112">
        <v>12</v>
      </c>
      <c r="P75" s="6">
        <f>+N75+O75+18</f>
        <v>30</v>
      </c>
      <c r="Q75" s="113">
        <f t="shared" si="58"/>
        <v>0</v>
      </c>
      <c r="R75" s="113">
        <f t="shared" si="58"/>
        <v>0</v>
      </c>
      <c r="S75" s="113">
        <f t="shared" si="58"/>
        <v>0</v>
      </c>
      <c r="T75" s="113">
        <f t="shared" si="58"/>
        <v>1</v>
      </c>
      <c r="U75" s="113">
        <f t="shared" si="58"/>
        <v>1</v>
      </c>
      <c r="V75" s="114">
        <f t="shared" si="32"/>
        <v>0</v>
      </c>
      <c r="W75" s="114">
        <f t="shared" ref="W75" si="59">R75*($G75-$H75)-V75</f>
        <v>0</v>
      </c>
      <c r="X75" s="114">
        <f t="shared" ref="X75" si="60">S75*($G75-$H75)-SUM(V75:W75)</f>
        <v>0</v>
      </c>
      <c r="Y75" s="114">
        <f t="shared" ref="Y75" si="61">T75*($G75-$H75)-SUM(V75:X75)</f>
        <v>1200</v>
      </c>
      <c r="Z75" s="114">
        <f t="shared" ref="Z75" si="62">U75*($G75-$H75)-SUM(V75:Y75)</f>
        <v>0</v>
      </c>
    </row>
    <row r="76" spans="1:27" s="125" customFormat="1" ht="21" customHeight="1" x14ac:dyDescent="0.25">
      <c r="A76" s="397"/>
      <c r="B76" s="382"/>
      <c r="C76" s="7" t="str">
        <f>+'RVK SVÆDI'!C54</f>
        <v>Snorrabraut 58-60</v>
      </c>
      <c r="D76" s="8">
        <f>+'RVK SVÆDI'!D54</f>
        <v>1</v>
      </c>
      <c r="E76" s="6" t="str">
        <f>+'RVK SVÆDI'!E54</f>
        <v>Miðborg</v>
      </c>
      <c r="F76" s="6" t="str">
        <f>+'RVK SVÆDI'!F54</f>
        <v>Austurbæjarskóli</v>
      </c>
      <c r="G76" s="112">
        <v>300</v>
      </c>
      <c r="H76" s="112">
        <v>0</v>
      </c>
      <c r="I76" s="112">
        <v>0</v>
      </c>
      <c r="J76" s="6">
        <f>+IF(D76=1,(G76-H76-I76),IF(D76=2,(G76-H76-I76),0))</f>
        <v>300</v>
      </c>
      <c r="K76" s="6"/>
      <c r="L76" s="112">
        <v>0.5</v>
      </c>
      <c r="M76" s="6">
        <f>+L76*12</f>
        <v>6</v>
      </c>
      <c r="N76" s="112">
        <v>0</v>
      </c>
      <c r="O76" s="112">
        <v>6</v>
      </c>
      <c r="P76" s="6">
        <f>+N76+O76+24</f>
        <v>30</v>
      </c>
      <c r="Q76" s="113">
        <f t="shared" si="58"/>
        <v>0</v>
      </c>
      <c r="R76" s="113">
        <f t="shared" si="58"/>
        <v>0</v>
      </c>
      <c r="S76" s="113">
        <f t="shared" si="58"/>
        <v>0</v>
      </c>
      <c r="T76" s="113">
        <f t="shared" si="58"/>
        <v>1</v>
      </c>
      <c r="U76" s="113">
        <f t="shared" si="58"/>
        <v>1</v>
      </c>
      <c r="V76" s="114">
        <f>Q76*($G76-$H76)</f>
        <v>0</v>
      </c>
      <c r="W76" s="114">
        <f>R76*($G76-$H76)-V76</f>
        <v>0</v>
      </c>
      <c r="X76" s="114">
        <f>S76*($G76-$H76)-SUM(V76:W76)</f>
        <v>0</v>
      </c>
      <c r="Y76" s="114">
        <f>T76*($G76-$H76)-SUM(V76:X76)</f>
        <v>300</v>
      </c>
      <c r="Z76" s="114">
        <f>U76*($G76-$H76)-SUM(V76:Y76)</f>
        <v>0</v>
      </c>
      <c r="AA76" s="131"/>
    </row>
    <row r="77" spans="1:27" s="125" customFormat="1" ht="21" customHeight="1" x14ac:dyDescent="0.25">
      <c r="A77" s="397"/>
      <c r="B77" s="382"/>
      <c r="C77" s="7" t="str">
        <f>+'RVK SVÆDI'!C55</f>
        <v>Egilsgata-Snorrabraut (Egilsgata 5)</v>
      </c>
      <c r="D77" s="8">
        <f>+'RVK SVÆDI'!D55</f>
        <v>4</v>
      </c>
      <c r="E77" s="6" t="str">
        <f>+'RVK SVÆDI'!E55</f>
        <v>Miðborg</v>
      </c>
      <c r="F77" s="6" t="str">
        <f>+'RVK SVÆDI'!F55</f>
        <v>Austurbæjarskóli</v>
      </c>
      <c r="G77" s="108">
        <f>20000-G76-G78</f>
        <v>19700</v>
      </c>
      <c r="H77" s="108">
        <v>0</v>
      </c>
      <c r="I77" s="108">
        <v>0</v>
      </c>
      <c r="J77" s="109">
        <f t="shared" si="3"/>
        <v>0</v>
      </c>
      <c r="K77" s="131"/>
      <c r="L77" s="112">
        <v>1.5</v>
      </c>
      <c r="M77" s="6">
        <f t="shared" si="6"/>
        <v>18</v>
      </c>
      <c r="N77" s="112">
        <v>48</v>
      </c>
      <c r="O77" s="112">
        <v>14</v>
      </c>
      <c r="P77" s="6">
        <f t="shared" si="57"/>
        <v>80</v>
      </c>
      <c r="Q77" s="113">
        <f t="shared" si="58"/>
        <v>0</v>
      </c>
      <c r="R77" s="113">
        <f t="shared" si="58"/>
        <v>0</v>
      </c>
      <c r="S77" s="113">
        <f t="shared" si="58"/>
        <v>0</v>
      </c>
      <c r="T77" s="113">
        <f t="shared" si="58"/>
        <v>0</v>
      </c>
      <c r="U77" s="113">
        <f t="shared" si="58"/>
        <v>0</v>
      </c>
      <c r="V77" s="114">
        <f t="shared" si="32"/>
        <v>0</v>
      </c>
      <c r="W77" s="114">
        <f>R77*($G77-$H77)-V77</f>
        <v>0</v>
      </c>
      <c r="X77" s="114">
        <f>S77*($G77-$H77)-SUM(V77:W77)</f>
        <v>0</v>
      </c>
      <c r="Y77" s="114">
        <f>T77*($G77-$H77)-SUM(V77:X77)</f>
        <v>0</v>
      </c>
      <c r="Z77" s="114">
        <f>U77*($G77-$H77)-SUM(V77:Y77)</f>
        <v>0</v>
      </c>
      <c r="AA77" s="131"/>
    </row>
    <row r="78" spans="1:27" s="10" customFormat="1" ht="21" customHeight="1" x14ac:dyDescent="0.25">
      <c r="A78" s="397"/>
      <c r="B78" s="382"/>
      <c r="C78" s="124" t="str">
        <f>+'RVK SVÆDI'!C56</f>
        <v>Snorrabraut 54 (áður hótel)</v>
      </c>
      <c r="D78" s="116">
        <f>+'RVK SVÆDI'!D56</f>
        <v>2</v>
      </c>
      <c r="E78" s="129" t="str">
        <f>+'RVK SVÆDI'!E56</f>
        <v>Miðborg</v>
      </c>
      <c r="F78" s="117" t="str">
        <f>+'RVK SVÆDI'!F56</f>
        <v>Austurbæjarskóli</v>
      </c>
      <c r="G78" s="392">
        <v>0</v>
      </c>
      <c r="H78" s="118">
        <v>0</v>
      </c>
      <c r="I78" s="118">
        <v>0</v>
      </c>
      <c r="J78" s="119">
        <f t="shared" si="3"/>
        <v>0</v>
      </c>
      <c r="K78" s="117"/>
      <c r="L78" s="120"/>
      <c r="M78" s="117"/>
      <c r="N78" s="120"/>
      <c r="O78" s="120"/>
      <c r="P78" s="117"/>
      <c r="Q78" s="121"/>
      <c r="R78" s="121"/>
      <c r="S78" s="121"/>
      <c r="T78" s="121"/>
      <c r="U78" s="121"/>
      <c r="V78" s="122"/>
      <c r="W78" s="122"/>
      <c r="X78" s="122"/>
      <c r="Y78" s="122"/>
      <c r="Z78" s="122"/>
      <c r="AA78" s="117"/>
    </row>
    <row r="79" spans="1:27" ht="21" customHeight="1" x14ac:dyDescent="0.25">
      <c r="A79" s="397"/>
      <c r="B79" s="382"/>
      <c r="C79" s="7" t="str">
        <f>+'RVK SVÆDI'!C57</f>
        <v>BSÍ-reitur</v>
      </c>
      <c r="D79" s="8">
        <f>+'RVK SVÆDI'!D57</f>
        <v>4</v>
      </c>
      <c r="E79" s="6" t="str">
        <f>+'RVK SVÆDI'!E57</f>
        <v>Miðborg</v>
      </c>
      <c r="F79" s="6" t="str">
        <f>+'RVK SVÆDI'!F57</f>
        <v>Austurbæjarskóli</v>
      </c>
      <c r="G79" s="108">
        <v>15000</v>
      </c>
      <c r="H79" s="108">
        <v>0</v>
      </c>
      <c r="I79" s="108">
        <v>0</v>
      </c>
      <c r="J79" s="109">
        <f t="shared" si="3"/>
        <v>0</v>
      </c>
      <c r="L79" s="112">
        <v>2</v>
      </c>
      <c r="M79" s="6">
        <f t="shared" si="6"/>
        <v>24</v>
      </c>
      <c r="N79" s="112">
        <v>60</v>
      </c>
      <c r="O79" s="112">
        <v>16</v>
      </c>
      <c r="P79" s="6">
        <f t="shared" si="57"/>
        <v>94</v>
      </c>
      <c r="Q79" s="113">
        <f>IFERROR(IF(AND((Q$236-$P79)/$M79&gt;0,(Q$236-$P79)/$M79&lt;1),(Q$236-$P79)/$M79,IF((Q$236-$P79)/$M79&gt;0,1,0)),0)</f>
        <v>0</v>
      </c>
      <c r="R79" s="113">
        <f>IFERROR(IF(AND((R$236-$P79)/$M79&gt;0,(R$236-$P79)/$M79&lt;1),(R$236-$P79)/$M79,IF((R$236-$P79)/$M79&gt;0,1,0)),0)</f>
        <v>0</v>
      </c>
      <c r="S79" s="113">
        <f>IFERROR(IF(AND((S$236-$P79)/$M79&gt;0,(S$236-$P79)/$M79&lt;1),(S$236-$P79)/$M79,IF((S$236-$P79)/$M79&gt;0,1,0)),0)</f>
        <v>0</v>
      </c>
      <c r="T79" s="113">
        <f>IFERROR(IF(AND((T$236-$P79)/$M79&gt;0,(T$236-$P79)/$M79&lt;1),(T$236-$P79)/$M79,IF((T$236-$P79)/$M79&gt;0,1,0)),0)</f>
        <v>0</v>
      </c>
      <c r="U79" s="113">
        <f>IFERROR(IF(AND((U$236-$P79)/$M79&gt;0,(U$236-$P79)/$M79&lt;1),(U$236-$P79)/$M79,IF((U$236-$P79)/$M79&gt;0,1,0)),0)</f>
        <v>0</v>
      </c>
      <c r="V79" s="114">
        <f t="shared" si="32"/>
        <v>0</v>
      </c>
      <c r="W79" s="114">
        <f>R79*($G79-$H79)-V79</f>
        <v>0</v>
      </c>
      <c r="X79" s="114">
        <f>S79*($G79-$H79)-SUM(V79:W79)</f>
        <v>0</v>
      </c>
      <c r="Y79" s="114">
        <f>T79*($G79-$H79)-SUM(V79:X79)</f>
        <v>0</v>
      </c>
      <c r="Z79" s="114">
        <f>U79*($G79-$H79)-SUM(V79:Y79)</f>
        <v>0</v>
      </c>
    </row>
    <row r="80" spans="1:27" ht="21" customHeight="1" x14ac:dyDescent="0.25">
      <c r="A80" s="397"/>
      <c r="B80" s="382"/>
      <c r="C80" s="7" t="str">
        <f>+'RVK SVÆDI'!C58</f>
        <v>Nýr landspítali meðferðarkjarni (tekin í notkun 2025)</v>
      </c>
      <c r="D80" s="8">
        <f>+'RVK SVÆDI'!D58</f>
        <v>1</v>
      </c>
      <c r="E80" s="6" t="str">
        <f>+'RVK SVÆDI'!E58</f>
        <v>Miðborg</v>
      </c>
      <c r="F80" s="6" t="str">
        <f>+'RVK SVÆDI'!F58</f>
        <v>Austurbæjarskóli</v>
      </c>
      <c r="G80" s="108">
        <v>58000</v>
      </c>
      <c r="H80" s="108">
        <v>0</v>
      </c>
      <c r="I80" s="108">
        <v>58000</v>
      </c>
      <c r="J80" s="109">
        <f t="shared" si="3"/>
        <v>0</v>
      </c>
      <c r="L80" s="110" t="s">
        <v>305</v>
      </c>
      <c r="M80" s="111"/>
      <c r="N80" s="111"/>
      <c r="O80" s="111"/>
      <c r="P80" s="111"/>
      <c r="Q80" s="111"/>
      <c r="R80" s="111"/>
      <c r="S80" s="111"/>
      <c r="T80" s="111"/>
      <c r="U80" s="111"/>
      <c r="V80" s="112">
        <v>0</v>
      </c>
      <c r="W80" s="112">
        <v>0</v>
      </c>
      <c r="X80" s="112">
        <v>0</v>
      </c>
      <c r="Y80" s="112">
        <v>0</v>
      </c>
      <c r="Z80" s="108">
        <v>58000</v>
      </c>
    </row>
    <row r="81" spans="1:27" ht="21" customHeight="1" x14ac:dyDescent="0.25">
      <c r="A81" s="397"/>
      <c r="B81" s="382"/>
      <c r="C81" s="7" t="str">
        <f>+'RVK SVÆDI'!C59</f>
        <v>Nýr landspítali afgangur af 1. áfanga</v>
      </c>
      <c r="D81" s="8">
        <f>+'RVK SVÆDI'!D59</f>
        <v>1</v>
      </c>
      <c r="E81" s="6" t="str">
        <f>+'RVK SVÆDI'!E59</f>
        <v>Miðborg</v>
      </c>
      <c r="F81" s="6" t="str">
        <f>+'RVK SVÆDI'!F59</f>
        <v>Austurbæjarskóli</v>
      </c>
      <c r="G81" s="108">
        <v>39500</v>
      </c>
      <c r="H81" s="108">
        <v>0</v>
      </c>
      <c r="I81" s="108">
        <v>0</v>
      </c>
      <c r="J81" s="109">
        <f t="shared" si="3"/>
        <v>39500</v>
      </c>
      <c r="L81" s="112">
        <v>4</v>
      </c>
      <c r="M81" s="6">
        <f t="shared" si="6"/>
        <v>48</v>
      </c>
      <c r="N81" s="112">
        <v>24</v>
      </c>
      <c r="O81" s="112">
        <v>48</v>
      </c>
      <c r="P81" s="6">
        <f t="shared" si="57"/>
        <v>90</v>
      </c>
      <c r="Q81" s="113">
        <f t="shared" ref="Q81:U86" si="63">IFERROR(IF(AND((Q$236-$P81)/$M81&gt;0,(Q$236-$P81)/$M81&lt;1),(Q$236-$P81)/$M81,IF((Q$236-$P81)/$M81&gt;0,1,0)),0)</f>
        <v>0</v>
      </c>
      <c r="R81" s="113">
        <f t="shared" si="63"/>
        <v>0</v>
      </c>
      <c r="S81" s="113">
        <f t="shared" si="63"/>
        <v>0</v>
      </c>
      <c r="T81" s="113">
        <f t="shared" si="63"/>
        <v>0</v>
      </c>
      <c r="U81" s="113">
        <f t="shared" si="63"/>
        <v>0</v>
      </c>
      <c r="V81" s="114">
        <f t="shared" si="32"/>
        <v>0</v>
      </c>
      <c r="W81" s="114">
        <f>R81*($G81-$H81)-V81</f>
        <v>0</v>
      </c>
      <c r="X81" s="114">
        <f>S81*($G81-$H81)-SUM(V81:W81)</f>
        <v>0</v>
      </c>
      <c r="Y81" s="114">
        <f>T81*($G81-$H81)-SUM(V81:X81)</f>
        <v>0</v>
      </c>
      <c r="Z81" s="114">
        <f>U81*($G81-$H81)-SUM(V81:Y81)</f>
        <v>0</v>
      </c>
    </row>
    <row r="82" spans="1:27" ht="21" customHeight="1" x14ac:dyDescent="0.25">
      <c r="A82" s="397"/>
      <c r="B82" s="382"/>
      <c r="C82" s="7" t="str">
        <f>+'RVK SVÆDI'!C60</f>
        <v>Nýr landspítali 2. áfangi</v>
      </c>
      <c r="D82" s="8">
        <f>+'RVK SVÆDI'!D60</f>
        <v>2</v>
      </c>
      <c r="E82" s="6" t="str">
        <f>+'RVK SVÆDI'!E60</f>
        <v>Miðborg</v>
      </c>
      <c r="F82" s="6" t="str">
        <f>+'RVK SVÆDI'!F60</f>
        <v>Austurbæjarskóli</v>
      </c>
      <c r="G82" s="108">
        <v>54100</v>
      </c>
      <c r="H82" s="108">
        <v>0</v>
      </c>
      <c r="I82" s="108">
        <v>0</v>
      </c>
      <c r="J82" s="109">
        <f t="shared" si="3"/>
        <v>54100</v>
      </c>
      <c r="L82" s="112">
        <v>4</v>
      </c>
      <c r="M82" s="6">
        <f t="shared" si="6"/>
        <v>48</v>
      </c>
      <c r="N82" s="112">
        <v>60</v>
      </c>
      <c r="O82" s="112">
        <v>48</v>
      </c>
      <c r="P82" s="6">
        <f t="shared" si="57"/>
        <v>126</v>
      </c>
      <c r="Q82" s="113">
        <f t="shared" si="63"/>
        <v>0</v>
      </c>
      <c r="R82" s="113">
        <f t="shared" si="63"/>
        <v>0</v>
      </c>
      <c r="S82" s="113">
        <f t="shared" si="63"/>
        <v>0</v>
      </c>
      <c r="T82" s="113">
        <f t="shared" si="63"/>
        <v>0</v>
      </c>
      <c r="U82" s="113">
        <f t="shared" si="63"/>
        <v>0</v>
      </c>
      <c r="V82" s="114">
        <f t="shared" si="32"/>
        <v>0</v>
      </c>
      <c r="W82" s="114">
        <f t="shared" ref="W82:W83" si="64">R82*($G82-$H82)-V82</f>
        <v>0</v>
      </c>
      <c r="X82" s="114">
        <f t="shared" ref="X82" si="65">S82*($G82-$H82)-SUM(V82:W82)</f>
        <v>0</v>
      </c>
      <c r="Y82" s="114">
        <f t="shared" ref="Y82" si="66">T82*($G82-$H82)-SUM(V82:X82)</f>
        <v>0</v>
      </c>
      <c r="Z82" s="114">
        <f t="shared" ref="Z82:Z83" si="67">U82*($G82-$H82)-SUM(V82:Y82)</f>
        <v>0</v>
      </c>
    </row>
    <row r="83" spans="1:27" ht="21" customHeight="1" x14ac:dyDescent="0.25">
      <c r="A83" s="397"/>
      <c r="B83" s="382"/>
      <c r="C83" s="7" t="str">
        <f>+'RVK SVÆDI'!C61</f>
        <v>Nýr landspítali - randbyggð Vísindagarða</v>
      </c>
      <c r="D83" s="8">
        <f>+'RVK SVÆDI'!D61</f>
        <v>2</v>
      </c>
      <c r="E83" s="6" t="str">
        <f>+'RVK SVÆDI'!E61</f>
        <v>Miðborg</v>
      </c>
      <c r="F83" s="6" t="str">
        <f>+'RVK SVÆDI'!F61</f>
        <v>Austurbæjarskóli</v>
      </c>
      <c r="G83" s="108">
        <v>15000</v>
      </c>
      <c r="H83" s="108">
        <v>0</v>
      </c>
      <c r="I83" s="108">
        <v>0</v>
      </c>
      <c r="J83" s="109">
        <f t="shared" si="3"/>
        <v>15000</v>
      </c>
      <c r="L83" s="112">
        <v>4</v>
      </c>
      <c r="M83" s="6">
        <f t="shared" si="6"/>
        <v>48</v>
      </c>
      <c r="N83" s="112">
        <v>24</v>
      </c>
      <c r="O83" s="112">
        <v>18</v>
      </c>
      <c r="P83" s="6">
        <f t="shared" si="57"/>
        <v>60</v>
      </c>
      <c r="Q83" s="113">
        <f t="shared" si="63"/>
        <v>0</v>
      </c>
      <c r="R83" s="113">
        <f t="shared" si="63"/>
        <v>0</v>
      </c>
      <c r="S83" s="113">
        <f t="shared" si="63"/>
        <v>0</v>
      </c>
      <c r="T83" s="113">
        <f t="shared" si="63"/>
        <v>0</v>
      </c>
      <c r="U83" s="113">
        <f t="shared" si="63"/>
        <v>0</v>
      </c>
      <c r="V83" s="114">
        <f t="shared" si="32"/>
        <v>0</v>
      </c>
      <c r="W83" s="114">
        <f t="shared" si="64"/>
        <v>0</v>
      </c>
      <c r="X83" s="114">
        <f t="shared" ref="X83" si="68">S83*($G83-$H83)-SUM(V83:W83)</f>
        <v>0</v>
      </c>
      <c r="Y83" s="114">
        <f t="shared" ref="Y83" si="69">T83*($G83-$H83)-SUM(V83:X83)</f>
        <v>0</v>
      </c>
      <c r="Z83" s="114">
        <f t="shared" si="67"/>
        <v>0</v>
      </c>
    </row>
    <row r="84" spans="1:27" ht="21" customHeight="1" x14ac:dyDescent="0.25">
      <c r="A84" s="397"/>
      <c r="B84" s="382"/>
      <c r="C84" s="7" t="str">
        <f>+'RVK SVÆDI'!C62</f>
        <v>Lækjargata hótelreitur</v>
      </c>
      <c r="D84" s="8">
        <f>+'RVK SVÆDI'!D62</f>
        <v>1</v>
      </c>
      <c r="E84" s="6" t="str">
        <f>+'RVK SVÆDI'!E62</f>
        <v>Miðborg</v>
      </c>
      <c r="F84" s="6" t="str">
        <f>+'RVK SVÆDI'!F62</f>
        <v>Austurbæjarskóli</v>
      </c>
      <c r="G84" s="108">
        <v>5000</v>
      </c>
      <c r="H84" s="130">
        <v>5000</v>
      </c>
      <c r="I84" s="130">
        <f t="shared" si="44"/>
        <v>0</v>
      </c>
      <c r="J84" s="109">
        <f t="shared" si="3"/>
        <v>0</v>
      </c>
      <c r="L84" s="112">
        <v>0.5</v>
      </c>
      <c r="M84" s="6">
        <f t="shared" si="6"/>
        <v>6</v>
      </c>
      <c r="N84" s="112">
        <v>-18</v>
      </c>
      <c r="O84" s="112">
        <v>0</v>
      </c>
      <c r="P84" s="6">
        <f>+N84+O84+36</f>
        <v>18</v>
      </c>
      <c r="Q84" s="113">
        <f t="shared" si="63"/>
        <v>0</v>
      </c>
      <c r="R84" s="113">
        <f t="shared" si="63"/>
        <v>0</v>
      </c>
      <c r="S84" s="113">
        <f t="shared" si="63"/>
        <v>1</v>
      </c>
      <c r="T84" s="113">
        <f t="shared" si="63"/>
        <v>1</v>
      </c>
      <c r="U84" s="113">
        <f t="shared" si="63"/>
        <v>1</v>
      </c>
      <c r="V84" s="114">
        <f t="shared" si="32"/>
        <v>0</v>
      </c>
      <c r="W84" s="114">
        <f>R84*($G84-$H84)-V84</f>
        <v>0</v>
      </c>
      <c r="X84" s="114">
        <f>S84*($G84-$H84)-SUM(V84:W84)</f>
        <v>0</v>
      </c>
      <c r="Y84" s="114">
        <f>T84*($G84-$H84)-SUM(V84:X84)</f>
        <v>0</v>
      </c>
      <c r="Z84" s="114">
        <f>U84*($G84-$H84)-SUM(V84:Y84)</f>
        <v>0</v>
      </c>
    </row>
    <row r="85" spans="1:27" ht="21" customHeight="1" x14ac:dyDescent="0.25">
      <c r="A85" s="397"/>
      <c r="B85" s="382"/>
      <c r="C85" s="7" t="str">
        <f>+'RVK SVÆDI'!C63</f>
        <v>Austurvöllur hótelreitur</v>
      </c>
      <c r="D85" s="8">
        <f>+'RVK SVÆDI'!D63</f>
        <v>1</v>
      </c>
      <c r="E85" s="6" t="str">
        <f>+'RVK SVÆDI'!E63</f>
        <v>Miðborg</v>
      </c>
      <c r="F85" s="6" t="str">
        <f>+'RVK SVÆDI'!F63</f>
        <v>Austurbæjarskóli</v>
      </c>
      <c r="G85" s="108">
        <v>10700</v>
      </c>
      <c r="H85" s="130">
        <v>10700</v>
      </c>
      <c r="I85" s="130">
        <f t="shared" si="44"/>
        <v>0</v>
      </c>
      <c r="J85" s="109">
        <f t="shared" si="3"/>
        <v>0</v>
      </c>
      <c r="L85" s="112">
        <v>1</v>
      </c>
      <c r="M85" s="6">
        <f t="shared" si="6"/>
        <v>12</v>
      </c>
      <c r="N85" s="112">
        <v>-42</v>
      </c>
      <c r="O85" s="112">
        <v>0</v>
      </c>
      <c r="P85" s="6">
        <f>+N85+O85+48</f>
        <v>6</v>
      </c>
      <c r="Q85" s="113">
        <f t="shared" si="63"/>
        <v>0</v>
      </c>
      <c r="R85" s="113">
        <f t="shared" si="63"/>
        <v>1</v>
      </c>
      <c r="S85" s="113">
        <f t="shared" si="63"/>
        <v>1</v>
      </c>
      <c r="T85" s="113">
        <f t="shared" si="63"/>
        <v>1</v>
      </c>
      <c r="U85" s="113">
        <f t="shared" si="63"/>
        <v>1</v>
      </c>
      <c r="V85" s="114">
        <f t="shared" si="32"/>
        <v>0</v>
      </c>
      <c r="W85" s="114">
        <f>R85*($G85-$H85)-V85</f>
        <v>0</v>
      </c>
      <c r="X85" s="114">
        <f>S85*($G85-$H85)-SUM(V85:W85)</f>
        <v>0</v>
      </c>
      <c r="Y85" s="114">
        <f>T85*($G85-$H85)-SUM(V85:X85)</f>
        <v>0</v>
      </c>
      <c r="Z85" s="114">
        <f>U85*($G85-$H85)-SUM(V85:Y85)</f>
        <v>0</v>
      </c>
    </row>
    <row r="86" spans="1:27" ht="21" customHeight="1" x14ac:dyDescent="0.25">
      <c r="A86" s="397"/>
      <c r="B86" s="382"/>
      <c r="C86" s="7" t="str">
        <f>+'RVK SVÆDI'!C64</f>
        <v>Bríetartún hótel</v>
      </c>
      <c r="D86" s="8">
        <f>+'RVK SVÆDI'!D64</f>
        <v>2</v>
      </c>
      <c r="E86" s="6" t="str">
        <f>+'RVK SVÆDI'!E64</f>
        <v>Miðborg</v>
      </c>
      <c r="F86" s="6" t="str">
        <f>+'RVK SVÆDI'!F64</f>
        <v>Austurbæjarskóli</v>
      </c>
      <c r="G86" s="108">
        <v>4800</v>
      </c>
      <c r="H86" s="108">
        <v>0</v>
      </c>
      <c r="I86" s="108">
        <v>0</v>
      </c>
      <c r="J86" s="109">
        <f t="shared" si="3"/>
        <v>4800</v>
      </c>
      <c r="L86" s="112">
        <v>1</v>
      </c>
      <c r="M86" s="6">
        <f t="shared" si="6"/>
        <v>12</v>
      </c>
      <c r="N86" s="112">
        <v>84</v>
      </c>
      <c r="O86" s="112">
        <v>12</v>
      </c>
      <c r="P86" s="6">
        <f>+N86+O86+18</f>
        <v>114</v>
      </c>
      <c r="Q86" s="113">
        <f t="shared" si="63"/>
        <v>0</v>
      </c>
      <c r="R86" s="113">
        <f t="shared" si="63"/>
        <v>0</v>
      </c>
      <c r="S86" s="113">
        <f t="shared" si="63"/>
        <v>0</v>
      </c>
      <c r="T86" s="113">
        <f t="shared" si="63"/>
        <v>0</v>
      </c>
      <c r="U86" s="113">
        <f t="shared" si="63"/>
        <v>0</v>
      </c>
      <c r="V86" s="114">
        <f t="shared" si="32"/>
        <v>0</v>
      </c>
      <c r="W86" s="114">
        <f t="shared" ref="W86" si="70">R86*($G86-$H86)-V86</f>
        <v>0</v>
      </c>
      <c r="X86" s="114">
        <f t="shared" ref="X86" si="71">S86*($G86-$H86)-SUM(V86:W86)</f>
        <v>0</v>
      </c>
      <c r="Y86" s="114">
        <f t="shared" ref="Y86" si="72">T86*($G86-$H86)-SUM(V86:X86)</f>
        <v>0</v>
      </c>
      <c r="Z86" s="114">
        <f t="shared" ref="Z86" si="73">U86*($G86-$H86)-SUM(V86:Y86)</f>
        <v>0</v>
      </c>
    </row>
    <row r="87" spans="1:27" s="10" customFormat="1" ht="21" customHeight="1" x14ac:dyDescent="0.25">
      <c r="A87" s="397"/>
      <c r="B87" s="382"/>
      <c r="C87" s="124" t="str">
        <f>+'RVK SVÆDI'!C65</f>
        <v>Miðborg - margir reitir (830 íb mínus BSÍ, Miðbakki o.fl.)</v>
      </c>
      <c r="D87" s="116">
        <f>+'RVK SVÆDI'!D65</f>
        <v>5</v>
      </c>
      <c r="E87" s="129" t="str">
        <f>+'RVK SVÆDI'!E65</f>
        <v>Miðborg</v>
      </c>
      <c r="F87" s="117" t="str">
        <f>+'RVK SVÆDI'!F65</f>
        <v>Austurbæjarskóli</v>
      </c>
      <c r="G87" s="118"/>
      <c r="H87" s="118"/>
      <c r="I87" s="118"/>
      <c r="J87" s="119"/>
      <c r="K87" s="117"/>
      <c r="L87" s="120"/>
      <c r="M87" s="117"/>
      <c r="N87" s="120"/>
      <c r="O87" s="120"/>
      <c r="P87" s="117"/>
      <c r="Q87" s="121"/>
      <c r="R87" s="121"/>
      <c r="S87" s="121"/>
      <c r="T87" s="121"/>
      <c r="U87" s="121"/>
      <c r="V87" s="122"/>
      <c r="W87" s="122"/>
      <c r="X87" s="122"/>
      <c r="Y87" s="122"/>
      <c r="Z87" s="122"/>
      <c r="AA87" s="117"/>
    </row>
    <row r="88" spans="1:27" ht="21" customHeight="1" x14ac:dyDescent="0.25">
      <c r="A88" s="397"/>
      <c r="B88" s="382"/>
      <c r="C88" s="7" t="str">
        <f>+'RVK SVÆDI'!C66</f>
        <v xml:space="preserve">Laugavegur-Holt I </v>
      </c>
      <c r="D88" s="8">
        <f>+'RVK SVÆDI'!D66</f>
        <v>4</v>
      </c>
      <c r="E88" s="6" t="str">
        <f>+'RVK SVÆDI'!E66</f>
        <v>Hlíðar</v>
      </c>
      <c r="F88" s="6" t="str">
        <f>+'RVK SVÆDI'!F66</f>
        <v>Háteigsskóli</v>
      </c>
      <c r="G88" s="108">
        <v>4500</v>
      </c>
      <c r="H88" s="108">
        <v>0</v>
      </c>
      <c r="I88" s="108">
        <v>0</v>
      </c>
      <c r="J88" s="109">
        <f t="shared" si="3"/>
        <v>0</v>
      </c>
      <c r="L88" s="112">
        <v>8</v>
      </c>
      <c r="M88" s="6">
        <f t="shared" si="6"/>
        <v>96</v>
      </c>
      <c r="N88" s="112">
        <v>60</v>
      </c>
      <c r="O88" s="112">
        <v>16</v>
      </c>
      <c r="P88" s="6">
        <f t="shared" si="57"/>
        <v>94</v>
      </c>
      <c r="Q88" s="113">
        <f>IFERROR(IF(AND((Q$236-$P88)/$M88&gt;0,(Q$236-$P88)/$M88&lt;1),(Q$236-$P88)/$M88,IF((Q$236-$P88)/$M88&gt;0,1,0)),0)</f>
        <v>0</v>
      </c>
      <c r="R88" s="113">
        <f>IFERROR(IF(AND((R$236-$P88)/$M88&gt;0,(R$236-$P88)/$M88&lt;1),(R$236-$P88)/$M88,IF((R$236-$P88)/$M88&gt;0,1,0)),0)</f>
        <v>0</v>
      </c>
      <c r="S88" s="113">
        <f>IFERROR(IF(AND((S$236-$P88)/$M88&gt;0,(S$236-$P88)/$M88&lt;1),(S$236-$P88)/$M88,IF((S$236-$P88)/$M88&gt;0,1,0)),0)</f>
        <v>0</v>
      </c>
      <c r="T88" s="113">
        <f>IFERROR(IF(AND((T$236-$P88)/$M88&gt;0,(T$236-$P88)/$M88&lt;1),(T$236-$P88)/$M88,IF((T$236-$P88)/$M88&gt;0,1,0)),0)</f>
        <v>0</v>
      </c>
      <c r="U88" s="113">
        <f>IFERROR(IF(AND((U$236-$P88)/$M88&gt;0,(U$236-$P88)/$M88&lt;1),(U$236-$P88)/$M88,IF((U$236-$P88)/$M88&gt;0,1,0)),0)</f>
        <v>0</v>
      </c>
      <c r="V88" s="114">
        <f t="shared" si="32"/>
        <v>0</v>
      </c>
      <c r="W88" s="114">
        <f>R88*($G88-$H88)-V88</f>
        <v>0</v>
      </c>
      <c r="X88" s="114">
        <f>S88*($G88-$H88)-SUM(V88:W88)</f>
        <v>0</v>
      </c>
      <c r="Y88" s="114">
        <f>T88*($G88-$H88)-SUM(V88:X88)</f>
        <v>0</v>
      </c>
      <c r="Z88" s="114">
        <f>U88*($G88-$H88)-SUM(V88:Y88)</f>
        <v>0</v>
      </c>
    </row>
    <row r="89" spans="1:27" ht="21" customHeight="1" x14ac:dyDescent="0.25">
      <c r="A89" s="397"/>
      <c r="B89" s="382"/>
      <c r="C89" s="124" t="str">
        <f>+'RVK SVÆDI'!C67</f>
        <v>Laugavegur 105</v>
      </c>
      <c r="D89" s="116">
        <f>+'RVK SVÆDI'!D67</f>
        <v>2</v>
      </c>
      <c r="E89" s="129" t="str">
        <f>+'RVK SVÆDI'!E67</f>
        <v>Hlíðar</v>
      </c>
      <c r="F89" s="117" t="str">
        <f>+'RVK SVÆDI'!F67</f>
        <v>Háteigsskóli</v>
      </c>
      <c r="G89" s="118"/>
      <c r="H89" s="118"/>
      <c r="I89" s="118"/>
      <c r="J89" s="119"/>
      <c r="K89" s="117"/>
      <c r="L89" s="120"/>
      <c r="M89" s="117"/>
      <c r="N89" s="120"/>
      <c r="O89" s="120"/>
      <c r="P89" s="117"/>
      <c r="Q89" s="121"/>
      <c r="R89" s="121"/>
      <c r="S89" s="121"/>
      <c r="T89" s="121"/>
      <c r="U89" s="121"/>
      <c r="V89" s="122"/>
      <c r="W89" s="122"/>
      <c r="X89" s="114"/>
      <c r="Y89" s="114"/>
      <c r="Z89" s="114"/>
    </row>
    <row r="90" spans="1:27" ht="21" customHeight="1" x14ac:dyDescent="0.25">
      <c r="A90" s="397"/>
      <c r="B90" s="382"/>
      <c r="C90" s="124" t="str">
        <f>+'RVK SVÆDI'!C68</f>
        <v>Laugavegur 157-159</v>
      </c>
      <c r="D90" s="116">
        <f>+'RVK SVÆDI'!D68</f>
        <v>3</v>
      </c>
      <c r="E90" s="129" t="str">
        <f>+'RVK SVÆDI'!E68</f>
        <v>Hlíðar</v>
      </c>
      <c r="F90" s="117" t="str">
        <f>+'RVK SVÆDI'!F68</f>
        <v>Háteigsskóli</v>
      </c>
      <c r="G90" s="118"/>
      <c r="H90" s="118"/>
      <c r="I90" s="118"/>
      <c r="J90" s="119"/>
      <c r="K90" s="117"/>
      <c r="L90" s="120"/>
      <c r="M90" s="117"/>
      <c r="N90" s="120"/>
      <c r="O90" s="120"/>
      <c r="P90" s="117"/>
      <c r="Q90" s="121"/>
      <c r="R90" s="121"/>
      <c r="S90" s="121"/>
      <c r="T90" s="121"/>
      <c r="U90" s="121"/>
      <c r="V90" s="122"/>
      <c r="W90" s="122"/>
      <c r="X90" s="114"/>
      <c r="Y90" s="114"/>
      <c r="Z90" s="114"/>
    </row>
    <row r="91" spans="1:27" ht="21" customHeight="1" x14ac:dyDescent="0.25">
      <c r="A91" s="397"/>
      <c r="B91" s="382"/>
      <c r="C91" s="7" t="str">
        <f>+'RVK SVÆDI'!C69</f>
        <v>Brautarholt 4-4a og 18-20</v>
      </c>
      <c r="D91" s="8">
        <f>+'RVK SVÆDI'!D69</f>
        <v>1</v>
      </c>
      <c r="E91" s="6" t="str">
        <f>+'RVK SVÆDI'!E69</f>
        <v>Hlíðar</v>
      </c>
      <c r="F91" s="6" t="str">
        <f>+'RVK SVÆDI'!F69</f>
        <v>Háteigsskóli</v>
      </c>
      <c r="G91" s="130">
        <v>-4000</v>
      </c>
      <c r="H91" s="108"/>
      <c r="I91" s="108"/>
      <c r="J91" s="109"/>
      <c r="L91" s="112"/>
      <c r="N91" s="112"/>
      <c r="O91" s="112"/>
      <c r="Q91" s="113"/>
      <c r="R91" s="113"/>
      <c r="S91" s="113"/>
      <c r="T91" s="113"/>
      <c r="U91" s="113"/>
      <c r="V91" s="114"/>
      <c r="W91" s="114"/>
      <c r="X91" s="114"/>
      <c r="Y91" s="114"/>
      <c r="Z91" s="114"/>
    </row>
    <row r="92" spans="1:27" ht="21" customHeight="1" x14ac:dyDescent="0.25">
      <c r="A92" s="397"/>
      <c r="B92" s="382"/>
      <c r="C92" s="7" t="str">
        <f>+'RVK SVÆDI'!C70</f>
        <v>Skipholt 1</v>
      </c>
      <c r="D92" s="8">
        <f>+'RVK SVÆDI'!D70</f>
        <v>1</v>
      </c>
      <c r="E92" s="6" t="str">
        <f>+'RVK SVÆDI'!E70</f>
        <v>Hlíðar</v>
      </c>
      <c r="F92" s="6" t="str">
        <f>+'RVK SVÆDI'!F70</f>
        <v>Háteigsskóli</v>
      </c>
      <c r="G92" s="130">
        <v>-4000</v>
      </c>
      <c r="H92" s="108"/>
      <c r="I92" s="108"/>
      <c r="J92" s="109"/>
      <c r="L92" s="112"/>
      <c r="N92" s="112"/>
      <c r="O92" s="112"/>
      <c r="Q92" s="113"/>
      <c r="R92" s="113"/>
      <c r="S92" s="113"/>
      <c r="T92" s="113"/>
      <c r="U92" s="113"/>
      <c r="V92" s="114"/>
      <c r="W92" s="114"/>
      <c r="X92" s="114"/>
      <c r="Y92" s="114"/>
      <c r="Z92" s="114"/>
    </row>
    <row r="93" spans="1:27" ht="21" customHeight="1" x14ac:dyDescent="0.25">
      <c r="A93" s="397"/>
      <c r="B93" s="382"/>
      <c r="C93" s="7" t="str">
        <f>+'RVK SVÆDI'!C71</f>
        <v>Laugavegur-Holt II (Heklureitur)</v>
      </c>
      <c r="D93" s="8">
        <f>+'RVK SVÆDI'!D71</f>
        <v>3</v>
      </c>
      <c r="E93" s="6" t="str">
        <f>+'RVK SVÆDI'!E71</f>
        <v>Hlíðar</v>
      </c>
      <c r="F93" s="6" t="str">
        <f>+'RVK SVÆDI'!F71</f>
        <v>Háteigsskóli</v>
      </c>
      <c r="G93" s="130">
        <v>3000</v>
      </c>
      <c r="H93" s="108">
        <v>0</v>
      </c>
      <c r="I93" s="108">
        <v>0</v>
      </c>
      <c r="J93" s="109">
        <f t="shared" si="3"/>
        <v>0</v>
      </c>
      <c r="L93" s="112">
        <v>3</v>
      </c>
      <c r="M93" s="6">
        <f t="shared" si="6"/>
        <v>36</v>
      </c>
      <c r="N93" s="112">
        <v>12</v>
      </c>
      <c r="O93" s="112">
        <v>18</v>
      </c>
      <c r="P93" s="6">
        <f t="shared" si="57"/>
        <v>48</v>
      </c>
      <c r="Q93" s="113">
        <f t="shared" ref="Q93:U94" si="74">IFERROR(IF(AND((Q$236-$P93)/$M93&gt;0,(Q$236-$P93)/$M93&lt;1),(Q$236-$P93)/$M93,IF((Q$236-$P93)/$M93&gt;0,1,0)),0)</f>
        <v>0</v>
      </c>
      <c r="R93" s="113">
        <f t="shared" si="74"/>
        <v>0</v>
      </c>
      <c r="S93" s="113">
        <f t="shared" si="74"/>
        <v>0</v>
      </c>
      <c r="T93" s="113">
        <f t="shared" si="74"/>
        <v>0</v>
      </c>
      <c r="U93" s="113">
        <f t="shared" si="74"/>
        <v>0.16666666666666666</v>
      </c>
      <c r="V93" s="114">
        <f t="shared" si="32"/>
        <v>0</v>
      </c>
      <c r="W93" s="114">
        <f>R93*($G93-$H93)-V93</f>
        <v>0</v>
      </c>
      <c r="X93" s="114">
        <f>S93*($G93-$H93)-SUM(V93:W93)</f>
        <v>0</v>
      </c>
      <c r="Y93" s="114">
        <f>T93*($G93-$H93)-SUM(V93:X93)</f>
        <v>0</v>
      </c>
      <c r="Z93" s="114">
        <f>U93*($G93-$H93)-SUM(V93:Y93)</f>
        <v>500</v>
      </c>
    </row>
    <row r="94" spans="1:27" ht="21" customHeight="1" x14ac:dyDescent="0.25">
      <c r="A94" s="397"/>
      <c r="B94" s="382"/>
      <c r="C94" s="7" t="str">
        <f>+'RVK SVÆDI'!C72</f>
        <v>Laugavegur-Holt II (Hótel L176)</v>
      </c>
      <c r="D94" s="8">
        <f>+'RVK SVÆDI'!D72</f>
        <v>2</v>
      </c>
      <c r="E94" s="6" t="str">
        <f>+'RVK SVÆDI'!E72</f>
        <v>Hlíðar</v>
      </c>
      <c r="F94" s="6" t="str">
        <f>+'RVK SVÆDI'!F72</f>
        <v>Háteigsskóli</v>
      </c>
      <c r="G94" s="108">
        <v>3000</v>
      </c>
      <c r="H94" s="108">
        <v>0</v>
      </c>
      <c r="I94" s="108">
        <v>0</v>
      </c>
      <c r="J94" s="109">
        <f t="shared" si="3"/>
        <v>3000</v>
      </c>
      <c r="L94" s="112">
        <v>3</v>
      </c>
      <c r="M94" s="6">
        <f t="shared" si="6"/>
        <v>36</v>
      </c>
      <c r="N94" s="112">
        <v>24</v>
      </c>
      <c r="O94" s="112">
        <v>14</v>
      </c>
      <c r="P94" s="6">
        <f t="shared" si="57"/>
        <v>56</v>
      </c>
      <c r="Q94" s="113">
        <f t="shared" si="74"/>
        <v>0</v>
      </c>
      <c r="R94" s="113">
        <f t="shared" si="74"/>
        <v>0</v>
      </c>
      <c r="S94" s="113">
        <f t="shared" si="74"/>
        <v>0</v>
      </c>
      <c r="T94" s="113">
        <f t="shared" si="74"/>
        <v>0</v>
      </c>
      <c r="U94" s="113">
        <f t="shared" si="74"/>
        <v>0</v>
      </c>
      <c r="V94" s="114">
        <f t="shared" si="32"/>
        <v>0</v>
      </c>
      <c r="W94" s="114">
        <f t="shared" ref="W94" si="75">R94*($G94-$H94)-V94</f>
        <v>0</v>
      </c>
      <c r="X94" s="114">
        <f t="shared" ref="X94" si="76">S94*($G94-$H94)-SUM(V94:W94)</f>
        <v>0</v>
      </c>
      <c r="Y94" s="114">
        <f t="shared" ref="Y94" si="77">T94*($G94-$H94)-SUM(V94:X94)</f>
        <v>0</v>
      </c>
      <c r="Z94" s="114">
        <f t="shared" ref="Z94" si="78">U94*($G94-$H94)-SUM(V94:Y94)</f>
        <v>0</v>
      </c>
    </row>
    <row r="95" spans="1:27" s="10" customFormat="1" ht="21" customHeight="1" x14ac:dyDescent="0.25">
      <c r="A95" s="397"/>
      <c r="B95" s="382"/>
      <c r="C95" s="124" t="str">
        <f>+'RVK SVÆDI'!C73</f>
        <v>Þverholt 13</v>
      </c>
      <c r="D95" s="116">
        <f>+'RVK SVÆDI'!D73</f>
        <v>1</v>
      </c>
      <c r="E95" s="129" t="str">
        <f>+'RVK SVÆDI'!E73</f>
        <v>Hlíðar</v>
      </c>
      <c r="F95" s="117" t="str">
        <f>+'RVK SVÆDI'!F73</f>
        <v>Háteigsskóli</v>
      </c>
      <c r="G95" s="118"/>
      <c r="H95" s="118"/>
      <c r="I95" s="118"/>
      <c r="J95" s="119"/>
      <c r="K95" s="117"/>
      <c r="L95" s="120"/>
      <c r="M95" s="117"/>
      <c r="N95" s="120"/>
      <c r="O95" s="120"/>
      <c r="P95" s="117"/>
      <c r="Q95" s="121"/>
      <c r="R95" s="121"/>
      <c r="S95" s="121"/>
      <c r="T95" s="121"/>
      <c r="U95" s="121"/>
      <c r="V95" s="122"/>
      <c r="W95" s="122"/>
      <c r="X95" s="122"/>
      <c r="Y95" s="122"/>
      <c r="Z95" s="122"/>
      <c r="AA95" s="117"/>
    </row>
    <row r="96" spans="1:27" s="10" customFormat="1" ht="21" customHeight="1" x14ac:dyDescent="0.25">
      <c r="A96" s="397"/>
      <c r="B96" s="382"/>
      <c r="C96" s="124"/>
      <c r="D96" s="116"/>
      <c r="E96" s="129"/>
      <c r="F96" s="117"/>
      <c r="G96" s="118"/>
      <c r="H96" s="118"/>
      <c r="I96" s="118"/>
      <c r="J96" s="119"/>
      <c r="K96" s="117"/>
      <c r="L96" s="120"/>
      <c r="M96" s="117"/>
      <c r="N96" s="120"/>
      <c r="O96" s="120"/>
      <c r="P96" s="117"/>
      <c r="Q96" s="121"/>
      <c r="R96" s="121"/>
      <c r="S96" s="121"/>
      <c r="T96" s="121"/>
      <c r="U96" s="121"/>
      <c r="V96" s="122"/>
      <c r="W96" s="122"/>
      <c r="X96" s="122"/>
      <c r="Y96" s="122"/>
      <c r="Z96" s="122"/>
      <c r="AA96" s="117"/>
    </row>
    <row r="97" spans="1:27" ht="21" customHeight="1" x14ac:dyDescent="0.25">
      <c r="A97" s="397"/>
      <c r="B97" s="382"/>
      <c r="C97" s="7" t="str">
        <f>+'RVK SVÆDI'!C75</f>
        <v>Háaleitisbraut 1 (Valhöll)</v>
      </c>
      <c r="D97" s="8">
        <f>+'RVK SVÆDI'!D75</f>
        <v>2</v>
      </c>
      <c r="E97" s="6" t="str">
        <f>+'RVK SVÆDI'!E75</f>
        <v>Hlíðar</v>
      </c>
      <c r="F97" s="6" t="str">
        <f>+'RVK SVÆDI'!F75</f>
        <v>Háteigsskóli</v>
      </c>
      <c r="G97" s="108">
        <v>2500</v>
      </c>
      <c r="H97" s="108">
        <v>0</v>
      </c>
      <c r="I97" s="108">
        <v>0</v>
      </c>
      <c r="J97" s="109">
        <f t="shared" si="3"/>
        <v>2500</v>
      </c>
      <c r="L97" s="112">
        <v>1</v>
      </c>
      <c r="M97" s="6">
        <f t="shared" si="6"/>
        <v>12</v>
      </c>
      <c r="N97" s="112">
        <v>24</v>
      </c>
      <c r="O97" s="112">
        <v>14</v>
      </c>
      <c r="P97" s="6">
        <f t="shared" si="57"/>
        <v>56</v>
      </c>
      <c r="Q97" s="113">
        <f>IFERROR(IF(AND((Q$236-$P97)/$M97&gt;0,(Q$236-$P97)/$M97&lt;1),(Q$236-$P97)/$M97,IF((Q$236-$P97)/$M97&gt;0,1,0)),0)</f>
        <v>0</v>
      </c>
      <c r="R97" s="113">
        <f>IFERROR(IF(AND((R$236-$P97)/$M97&gt;0,(R$236-$P97)/$M97&lt;1),(R$236-$P97)/$M97,IF((R$236-$P97)/$M97&gt;0,1,0)),0)</f>
        <v>0</v>
      </c>
      <c r="S97" s="113">
        <f>IFERROR(IF(AND((S$236-$P97)/$M97&gt;0,(S$236-$P97)/$M97&lt;1),(S$236-$P97)/$M97,IF((S$236-$P97)/$M97&gt;0,1,0)),0)</f>
        <v>0</v>
      </c>
      <c r="T97" s="113">
        <f>IFERROR(IF(AND((T$236-$P97)/$M97&gt;0,(T$236-$P97)/$M97&lt;1),(T$236-$P97)/$M97,IF((T$236-$P97)/$M97&gt;0,1,0)),0)</f>
        <v>0</v>
      </c>
      <c r="U97" s="113">
        <f>IFERROR(IF(AND((U$236-$P97)/$M97&gt;0,(U$236-$P97)/$M97&lt;1),(U$236-$P97)/$M97,IF((U$236-$P97)/$M97&gt;0,1,0)),0)</f>
        <v>0</v>
      </c>
      <c r="V97" s="114">
        <f t="shared" si="32"/>
        <v>0</v>
      </c>
      <c r="W97" s="114">
        <f>R97*($G97-$H97)-V97</f>
        <v>0</v>
      </c>
      <c r="X97" s="114">
        <f>S97*($G97-$H97)-SUM(V97:W97)</f>
        <v>0</v>
      </c>
      <c r="Y97" s="114">
        <f>T97*($G97-$H97)-SUM(V97:X97)</f>
        <v>0</v>
      </c>
      <c r="Z97" s="114">
        <f>U97*($G97-$H97)-SUM(V97:Y97)</f>
        <v>0</v>
      </c>
    </row>
    <row r="98" spans="1:27" s="10" customFormat="1" ht="21" customHeight="1" x14ac:dyDescent="0.25">
      <c r="A98" s="397"/>
      <c r="B98" s="382"/>
      <c r="C98" s="124" t="str">
        <f>+'RVK SVÆDI'!C76</f>
        <v>Sjómannaskólareitur</v>
      </c>
      <c r="D98" s="116">
        <f>+'RVK SVÆDI'!D76</f>
        <v>1</v>
      </c>
      <c r="E98" s="129" t="str">
        <f>+'RVK SVÆDI'!E76</f>
        <v>Hlíðar</v>
      </c>
      <c r="F98" s="117" t="str">
        <f>+'RVK SVÆDI'!F76</f>
        <v>Háteigsskóli</v>
      </c>
      <c r="G98" s="118"/>
      <c r="H98" s="118"/>
      <c r="I98" s="118"/>
      <c r="J98" s="119"/>
      <c r="K98" s="117"/>
      <c r="L98" s="120"/>
      <c r="M98" s="117"/>
      <c r="N98" s="120"/>
      <c r="O98" s="120"/>
      <c r="P98" s="117"/>
      <c r="Q98" s="121"/>
      <c r="R98" s="121"/>
      <c r="S98" s="121"/>
      <c r="T98" s="121"/>
      <c r="U98" s="121"/>
      <c r="V98" s="122"/>
      <c r="W98" s="122"/>
      <c r="X98" s="122"/>
      <c r="Y98" s="122"/>
      <c r="Z98" s="122"/>
      <c r="AA98" s="117"/>
    </row>
    <row r="99" spans="1:27" s="10" customFormat="1" ht="21" customHeight="1" x14ac:dyDescent="0.25">
      <c r="A99" s="397"/>
      <c r="B99" s="382"/>
      <c r="C99" s="124" t="str">
        <f>+'RVK SVÆDI'!C77</f>
        <v>KHÍ-lóð-nemendagarðar-Austurhlíð</v>
      </c>
      <c r="D99" s="116">
        <f>+'RVK SVÆDI'!D77</f>
        <v>1</v>
      </c>
      <c r="E99" s="129" t="str">
        <f>+'RVK SVÆDI'!E77</f>
        <v>Hlíðar</v>
      </c>
      <c r="F99" s="117" t="str">
        <f>+'RVK SVÆDI'!F77</f>
        <v>Háteigsskóli</v>
      </c>
      <c r="G99" s="118"/>
      <c r="H99" s="118"/>
      <c r="I99" s="118"/>
      <c r="J99" s="119"/>
      <c r="K99" s="117"/>
      <c r="L99" s="120"/>
      <c r="M99" s="117"/>
      <c r="N99" s="120"/>
      <c r="O99" s="120"/>
      <c r="P99" s="117"/>
      <c r="Q99" s="121"/>
      <c r="R99" s="121"/>
      <c r="S99" s="121"/>
      <c r="T99" s="121"/>
      <c r="U99" s="121"/>
      <c r="V99" s="122"/>
      <c r="W99" s="122"/>
      <c r="X99" s="122"/>
      <c r="Y99" s="122"/>
      <c r="Z99" s="122"/>
      <c r="AA99" s="117"/>
    </row>
    <row r="100" spans="1:27" s="10" customFormat="1" ht="21" customHeight="1" x14ac:dyDescent="0.25">
      <c r="A100" s="397"/>
      <c r="B100" s="382"/>
      <c r="C100" s="124" t="str">
        <f>+'RVK SVÆDI'!C78</f>
        <v>Veðurstofuhæð</v>
      </c>
      <c r="D100" s="116">
        <f>+'RVK SVÆDI'!D78</f>
        <v>3</v>
      </c>
      <c r="E100" s="129" t="str">
        <f>+'RVK SVÆDI'!E78</f>
        <v>Hlíðar</v>
      </c>
      <c r="F100" s="117" t="str">
        <f>+'RVK SVÆDI'!F78</f>
        <v>Hlíðaskóli</v>
      </c>
      <c r="G100" s="118"/>
      <c r="H100" s="118"/>
      <c r="I100" s="118"/>
      <c r="J100" s="119"/>
      <c r="K100" s="117"/>
      <c r="L100" s="120"/>
      <c r="M100" s="117"/>
      <c r="N100" s="120"/>
      <c r="O100" s="120"/>
      <c r="P100" s="117"/>
      <c r="Q100" s="121"/>
      <c r="R100" s="121"/>
      <c r="S100" s="121"/>
      <c r="T100" s="121"/>
      <c r="U100" s="121"/>
      <c r="V100" s="122"/>
      <c r="W100" s="122"/>
      <c r="X100" s="122"/>
      <c r="Y100" s="122"/>
      <c r="Z100" s="122"/>
      <c r="AA100" s="117"/>
    </row>
    <row r="101" spans="1:27" s="10" customFormat="1" ht="21" customHeight="1" x14ac:dyDescent="0.25">
      <c r="A101" s="397"/>
      <c r="B101" s="382"/>
      <c r="C101" s="124" t="str">
        <f>+'RVK SVÆDI'!C79</f>
        <v>Laugavegur 180 (B)</v>
      </c>
      <c r="D101" s="116">
        <f>+'RVK SVÆDI'!D79</f>
        <v>5</v>
      </c>
      <c r="E101" s="129" t="str">
        <f>+'RVK SVÆDI'!E79</f>
        <v>Hlíðar</v>
      </c>
      <c r="F101" s="117" t="str">
        <f>+'RVK SVÆDI'!F79</f>
        <v>Háteigsskóli</v>
      </c>
      <c r="G101" s="118"/>
      <c r="H101" s="118"/>
      <c r="I101" s="118"/>
      <c r="J101" s="119"/>
      <c r="K101" s="117"/>
      <c r="L101" s="120"/>
      <c r="M101" s="117"/>
      <c r="N101" s="120"/>
      <c r="O101" s="120"/>
      <c r="P101" s="117"/>
      <c r="Q101" s="121"/>
      <c r="R101" s="121"/>
      <c r="S101" s="121"/>
      <c r="T101" s="121"/>
      <c r="U101" s="121"/>
      <c r="V101" s="122"/>
      <c r="W101" s="122"/>
      <c r="X101" s="122"/>
      <c r="Y101" s="122"/>
      <c r="Z101" s="122"/>
      <c r="AA101" s="117"/>
    </row>
    <row r="102" spans="1:27" s="10" customFormat="1" ht="21" customHeight="1" x14ac:dyDescent="0.25">
      <c r="A102" s="397"/>
      <c r="B102" s="382"/>
      <c r="C102" s="124" t="str">
        <f>+'RVK SVÆDI'!C80</f>
        <v>Starmýri 2a</v>
      </c>
      <c r="D102" s="116">
        <f>+'RVK SVÆDI'!D80</f>
        <v>1</v>
      </c>
      <c r="E102" s="129" t="str">
        <f>+'RVK SVÆDI'!E80</f>
        <v>Hlíðar</v>
      </c>
      <c r="F102" s="117" t="str">
        <f>+'RVK SVÆDI'!F80</f>
        <v>Háteigsskóli</v>
      </c>
      <c r="G102" s="118"/>
      <c r="H102" s="118"/>
      <c r="I102" s="118"/>
      <c r="J102" s="119"/>
      <c r="K102" s="117"/>
      <c r="L102" s="120"/>
      <c r="M102" s="117"/>
      <c r="N102" s="120"/>
      <c r="O102" s="120"/>
      <c r="P102" s="117"/>
      <c r="Q102" s="121"/>
      <c r="R102" s="121"/>
      <c r="S102" s="121"/>
      <c r="T102" s="121"/>
      <c r="U102" s="121"/>
      <c r="V102" s="122"/>
      <c r="W102" s="122"/>
      <c r="X102" s="122"/>
      <c r="Y102" s="122"/>
      <c r="Z102" s="122"/>
      <c r="AA102" s="117"/>
    </row>
    <row r="103" spans="1:27" ht="21" customHeight="1" x14ac:dyDescent="0.25">
      <c r="A103" s="397"/>
      <c r="B103" s="382"/>
      <c r="C103" s="7" t="str">
        <f>+'RVK SVÆDI'!C81</f>
        <v>Hlíðar hverfisskipulag</v>
      </c>
      <c r="D103" s="8">
        <f>+'RVK SVÆDI'!D81</f>
        <v>4</v>
      </c>
      <c r="E103" s="6" t="str">
        <f>+'RVK SVÆDI'!E81</f>
        <v>Hlíðar</v>
      </c>
      <c r="F103" s="6" t="str">
        <f>+'RVK SVÆDI'!F81</f>
        <v>Hlíðaskóli</v>
      </c>
      <c r="G103" s="108">
        <v>12000</v>
      </c>
      <c r="H103" s="108">
        <v>0</v>
      </c>
      <c r="I103" s="108">
        <v>0</v>
      </c>
      <c r="J103" s="109">
        <f>+IF(D103=1,(G103-H103-I103),IF(D103=2,(G103-H103-I103),0))</f>
        <v>0</v>
      </c>
      <c r="L103" s="112">
        <v>10</v>
      </c>
      <c r="M103" s="6">
        <f>+L103*12</f>
        <v>120</v>
      </c>
      <c r="N103" s="112">
        <v>48</v>
      </c>
      <c r="O103" s="112">
        <v>14</v>
      </c>
      <c r="P103" s="6">
        <f>+N103+O103+18</f>
        <v>80</v>
      </c>
      <c r="Q103" s="113">
        <f t="shared" ref="Q103:U107" si="79">IFERROR(IF(AND((Q$236-$P103)/$M103&gt;0,(Q$236-$P103)/$M103&lt;1),(Q$236-$P103)/$M103,IF((Q$236-$P103)/$M103&gt;0,1,0)),0)</f>
        <v>0</v>
      </c>
      <c r="R103" s="113">
        <f t="shared" si="79"/>
        <v>0</v>
      </c>
      <c r="S103" s="113">
        <f t="shared" si="79"/>
        <v>0</v>
      </c>
      <c r="T103" s="113">
        <f t="shared" si="79"/>
        <v>0</v>
      </c>
      <c r="U103" s="113">
        <f t="shared" si="79"/>
        <v>0</v>
      </c>
      <c r="V103" s="114">
        <f>Q103*($G103-$H103)</f>
        <v>0</v>
      </c>
      <c r="W103" s="114">
        <f t="shared" ref="W103:W109" si="80">R103*($G103-$H103)-V103</f>
        <v>0</v>
      </c>
      <c r="X103" s="114">
        <f t="shared" ref="X103:X109" si="81">S103*($G103-$H103)-SUM(V103:W103)</f>
        <v>0</v>
      </c>
      <c r="Y103" s="114">
        <f t="shared" ref="Y103:Y109" si="82">T103*($G103-$H103)-SUM(V103:X103)</f>
        <v>0</v>
      </c>
      <c r="Z103" s="114">
        <f t="shared" ref="Z103:Z109" si="83">U103*($G103-$H103)-SUM(V103:Y103)</f>
        <v>0</v>
      </c>
    </row>
    <row r="104" spans="1:27" ht="21" customHeight="1" x14ac:dyDescent="0.25">
      <c r="A104" s="397"/>
      <c r="B104" s="382"/>
      <c r="C104" s="7" t="str">
        <f>+'RVK SVÆDI'!C82</f>
        <v>Miklabraut - stokkur-vestur og Skógarhlíð</v>
      </c>
      <c r="D104" s="8">
        <f>+'RVK SVÆDI'!D82</f>
        <v>4</v>
      </c>
      <c r="E104" s="6" t="str">
        <f>+'RVK SVÆDI'!E82</f>
        <v>Hlíðar</v>
      </c>
      <c r="F104" s="6" t="str">
        <f>+'RVK SVÆDI'!F82</f>
        <v>Hlíðaskóli</v>
      </c>
      <c r="G104" s="108">
        <f>360*23</f>
        <v>8280</v>
      </c>
      <c r="H104" s="108">
        <v>0</v>
      </c>
      <c r="I104" s="108">
        <v>0</v>
      </c>
      <c r="J104" s="109">
        <f t="shared" si="3"/>
        <v>0</v>
      </c>
      <c r="L104" s="112">
        <v>6</v>
      </c>
      <c r="M104" s="6">
        <f t="shared" ref="M104:M162" si="84">+L104*12</f>
        <v>72</v>
      </c>
      <c r="N104" s="112">
        <v>48</v>
      </c>
      <c r="O104" s="112">
        <v>14</v>
      </c>
      <c r="P104" s="6">
        <f t="shared" si="57"/>
        <v>80</v>
      </c>
      <c r="Q104" s="113">
        <f t="shared" si="79"/>
        <v>0</v>
      </c>
      <c r="R104" s="113">
        <f t="shared" si="79"/>
        <v>0</v>
      </c>
      <c r="S104" s="113">
        <f t="shared" si="79"/>
        <v>0</v>
      </c>
      <c r="T104" s="113">
        <f t="shared" si="79"/>
        <v>0</v>
      </c>
      <c r="U104" s="113">
        <f t="shared" si="79"/>
        <v>0</v>
      </c>
      <c r="V104" s="114">
        <f t="shared" si="32"/>
        <v>0</v>
      </c>
      <c r="W104" s="114">
        <f t="shared" si="80"/>
        <v>0</v>
      </c>
      <c r="X104" s="114">
        <f t="shared" si="81"/>
        <v>0</v>
      </c>
      <c r="Y104" s="114">
        <f t="shared" si="82"/>
        <v>0</v>
      </c>
      <c r="Z104" s="114">
        <f t="shared" si="83"/>
        <v>0</v>
      </c>
    </row>
    <row r="105" spans="1:27" ht="21" customHeight="1" x14ac:dyDescent="0.25">
      <c r="A105" s="397"/>
      <c r="B105" s="382"/>
      <c r="C105" s="7" t="str">
        <f>+'RVK SVÆDI'!C83</f>
        <v>Miklabraut - stokkur-austur</v>
      </c>
      <c r="D105" s="8">
        <f>+'RVK SVÆDI'!D83</f>
        <v>4</v>
      </c>
      <c r="E105" s="6" t="str">
        <f>+'RVK SVÆDI'!E83</f>
        <v>Hlíðar</v>
      </c>
      <c r="F105" s="6" t="str">
        <f>+'RVK SVÆDI'!F83</f>
        <v>Hlíðaskóli</v>
      </c>
      <c r="G105" s="108">
        <f>600*23</f>
        <v>13800</v>
      </c>
      <c r="H105" s="108">
        <v>0</v>
      </c>
      <c r="I105" s="108">
        <v>0</v>
      </c>
      <c r="J105" s="109">
        <f t="shared" si="3"/>
        <v>0</v>
      </c>
      <c r="L105" s="112">
        <v>8</v>
      </c>
      <c r="M105" s="6">
        <f t="shared" si="84"/>
        <v>96</v>
      </c>
      <c r="N105" s="112">
        <v>48</v>
      </c>
      <c r="O105" s="112">
        <v>14</v>
      </c>
      <c r="P105" s="6">
        <f t="shared" si="57"/>
        <v>80</v>
      </c>
      <c r="Q105" s="113">
        <f t="shared" si="79"/>
        <v>0</v>
      </c>
      <c r="R105" s="113">
        <f t="shared" si="79"/>
        <v>0</v>
      </c>
      <c r="S105" s="113">
        <f t="shared" si="79"/>
        <v>0</v>
      </c>
      <c r="T105" s="113">
        <f t="shared" si="79"/>
        <v>0</v>
      </c>
      <c r="U105" s="113">
        <f t="shared" si="79"/>
        <v>0</v>
      </c>
      <c r="V105" s="114">
        <f t="shared" si="32"/>
        <v>0</v>
      </c>
      <c r="W105" s="114">
        <f t="shared" si="80"/>
        <v>0</v>
      </c>
      <c r="X105" s="114">
        <f t="shared" si="81"/>
        <v>0</v>
      </c>
      <c r="Y105" s="114">
        <f t="shared" si="82"/>
        <v>0</v>
      </c>
      <c r="Z105" s="114">
        <f t="shared" si="83"/>
        <v>0</v>
      </c>
    </row>
    <row r="106" spans="1:27" ht="21" customHeight="1" x14ac:dyDescent="0.25">
      <c r="A106" s="397"/>
      <c r="B106" s="382"/>
      <c r="C106" s="7" t="str">
        <f>+'RVK SVÆDI'!C84</f>
        <v>Lögreglustöðvarreitur</v>
      </c>
      <c r="D106" s="8">
        <f>+'RVK SVÆDI'!D84</f>
        <v>4</v>
      </c>
      <c r="E106" s="6" t="str">
        <f>+'RVK SVÆDI'!E84</f>
        <v>Laugardalur</v>
      </c>
      <c r="F106" s="6" t="str">
        <f>+'RVK SVÆDI'!F84</f>
        <v>Austurbæjarskóli</v>
      </c>
      <c r="G106" s="108">
        <v>0</v>
      </c>
      <c r="H106" s="108">
        <v>0</v>
      </c>
      <c r="I106" s="108">
        <v>0</v>
      </c>
      <c r="J106" s="109">
        <f t="shared" si="3"/>
        <v>0</v>
      </c>
      <c r="L106" s="112">
        <v>2</v>
      </c>
      <c r="M106" s="6">
        <f t="shared" si="84"/>
        <v>24</v>
      </c>
      <c r="N106" s="112">
        <v>48</v>
      </c>
      <c r="O106" s="112">
        <v>14</v>
      </c>
      <c r="P106" s="6">
        <f t="shared" si="57"/>
        <v>80</v>
      </c>
      <c r="Q106" s="113">
        <f t="shared" si="79"/>
        <v>0</v>
      </c>
      <c r="R106" s="113">
        <f t="shared" si="79"/>
        <v>0</v>
      </c>
      <c r="S106" s="113">
        <f t="shared" si="79"/>
        <v>0</v>
      </c>
      <c r="T106" s="113">
        <f t="shared" si="79"/>
        <v>0</v>
      </c>
      <c r="U106" s="113">
        <f t="shared" si="79"/>
        <v>0</v>
      </c>
      <c r="V106" s="114">
        <f t="shared" si="32"/>
        <v>0</v>
      </c>
      <c r="W106" s="114">
        <f t="shared" si="80"/>
        <v>0</v>
      </c>
      <c r="X106" s="114">
        <f t="shared" si="81"/>
        <v>0</v>
      </c>
      <c r="Y106" s="114">
        <f t="shared" si="82"/>
        <v>0</v>
      </c>
      <c r="Z106" s="114">
        <f t="shared" si="83"/>
        <v>0</v>
      </c>
    </row>
    <row r="107" spans="1:27" ht="21" customHeight="1" x14ac:dyDescent="0.25">
      <c r="A107" s="397"/>
      <c r="B107" s="382"/>
      <c r="C107" s="7" t="str">
        <f>+'RVK SVÆDI'!C85</f>
        <v>Guðrúnartúnsreitur</v>
      </c>
      <c r="D107" s="8">
        <f>+'RVK SVÆDI'!D85</f>
        <v>2</v>
      </c>
      <c r="E107" s="6" t="str">
        <f>+'RVK SVÆDI'!E85</f>
        <v>Laugardalur</v>
      </c>
      <c r="F107" s="6" t="str">
        <f>+'RVK SVÆDI'!F85</f>
        <v>Laugarnesskóli</v>
      </c>
      <c r="G107" s="108">
        <v>0</v>
      </c>
      <c r="H107" s="108">
        <v>0</v>
      </c>
      <c r="I107" s="108">
        <v>0</v>
      </c>
      <c r="J107" s="109">
        <f t="shared" si="3"/>
        <v>0</v>
      </c>
      <c r="L107" s="112">
        <v>4</v>
      </c>
      <c r="M107" s="6">
        <f t="shared" si="84"/>
        <v>48</v>
      </c>
      <c r="N107" s="112">
        <v>48</v>
      </c>
      <c r="O107" s="112">
        <v>14</v>
      </c>
      <c r="P107" s="6">
        <f t="shared" si="57"/>
        <v>80</v>
      </c>
      <c r="Q107" s="113">
        <f t="shared" si="79"/>
        <v>0</v>
      </c>
      <c r="R107" s="113">
        <f t="shared" si="79"/>
        <v>0</v>
      </c>
      <c r="S107" s="113">
        <f t="shared" si="79"/>
        <v>0</v>
      </c>
      <c r="T107" s="113">
        <f t="shared" si="79"/>
        <v>0</v>
      </c>
      <c r="U107" s="113">
        <f t="shared" si="79"/>
        <v>0</v>
      </c>
      <c r="V107" s="114">
        <f t="shared" si="32"/>
        <v>0</v>
      </c>
      <c r="W107" s="114">
        <f t="shared" si="80"/>
        <v>0</v>
      </c>
      <c r="X107" s="114">
        <f t="shared" si="81"/>
        <v>0</v>
      </c>
      <c r="Y107" s="114">
        <f t="shared" si="82"/>
        <v>0</v>
      </c>
      <c r="Z107" s="114">
        <f t="shared" si="83"/>
        <v>0</v>
      </c>
    </row>
    <row r="108" spans="1:27" ht="21" customHeight="1" x14ac:dyDescent="0.25">
      <c r="A108" s="397"/>
      <c r="B108" s="382"/>
      <c r="C108" s="7" t="str">
        <f>+'RVK SVÆDI'!C86</f>
        <v>Höfðatorg</v>
      </c>
      <c r="D108" s="8">
        <v>3</v>
      </c>
      <c r="E108" s="6" t="str">
        <f>+'RVK SVÆDI'!E86</f>
        <v>Laugardalur</v>
      </c>
      <c r="F108" s="6" t="str">
        <f>+'RVK SVÆDI'!F86</f>
        <v>Austurbæjarskóli</v>
      </c>
      <c r="G108" s="108">
        <v>14800</v>
      </c>
      <c r="H108" s="108">
        <v>0</v>
      </c>
      <c r="I108" s="108">
        <v>0</v>
      </c>
      <c r="J108" s="109">
        <f t="shared" si="3"/>
        <v>0</v>
      </c>
      <c r="L108" s="110" t="s">
        <v>305</v>
      </c>
      <c r="M108" s="111"/>
      <c r="N108" s="111"/>
      <c r="O108" s="111"/>
      <c r="P108" s="111"/>
      <c r="Q108" s="111"/>
      <c r="R108" s="111"/>
      <c r="S108" s="111"/>
      <c r="T108" s="111"/>
      <c r="U108" s="111"/>
      <c r="V108" s="112">
        <v>0</v>
      </c>
      <c r="W108" s="112">
        <v>0</v>
      </c>
      <c r="X108" s="112">
        <v>0</v>
      </c>
      <c r="Y108" s="108">
        <v>14800</v>
      </c>
      <c r="Z108" s="108">
        <v>0</v>
      </c>
    </row>
    <row r="109" spans="1:27" ht="21" customHeight="1" x14ac:dyDescent="0.25">
      <c r="A109" s="397"/>
      <c r="B109" s="382"/>
      <c r="C109" s="7" t="str">
        <f>+'RVK SVÆDI'!C87</f>
        <v>Borgartúnsreitir (M6a)</v>
      </c>
      <c r="D109" s="8">
        <f>+'RVK SVÆDI'!D87</f>
        <v>4</v>
      </c>
      <c r="E109" s="6" t="str">
        <f>+'RVK SVÆDI'!E87</f>
        <v>Laugardalur</v>
      </c>
      <c r="F109" s="6" t="str">
        <f>+'RVK SVÆDI'!F87</f>
        <v>Laugarnesskóli</v>
      </c>
      <c r="G109" s="108">
        <f>78000-G108-G112</f>
        <v>62900</v>
      </c>
      <c r="H109" s="108">
        <v>0</v>
      </c>
      <c r="I109" s="108">
        <v>0</v>
      </c>
      <c r="J109" s="109">
        <f t="shared" si="3"/>
        <v>0</v>
      </c>
      <c r="L109" s="112">
        <v>3</v>
      </c>
      <c r="M109" s="6">
        <f t="shared" si="84"/>
        <v>36</v>
      </c>
      <c r="N109" s="112">
        <v>48</v>
      </c>
      <c r="O109" s="112">
        <v>14</v>
      </c>
      <c r="P109" s="6">
        <f t="shared" si="57"/>
        <v>80</v>
      </c>
      <c r="Q109" s="113">
        <f>IFERROR(IF(AND((Q$236-$P109)/$M109&gt;0,(Q$236-$P109)/$M109&lt;1),(Q$236-$P109)/$M109,IF((Q$236-$P109)/$M109&gt;0,1,0)),0)</f>
        <v>0</v>
      </c>
      <c r="R109" s="113">
        <f>IFERROR(IF(AND((R$236-$P109)/$M109&gt;0,(R$236-$P109)/$M109&lt;1),(R$236-$P109)/$M109,IF((R$236-$P109)/$M109&gt;0,1,0)),0)</f>
        <v>0</v>
      </c>
      <c r="S109" s="113">
        <f>IFERROR(IF(AND((S$236-$P109)/$M109&gt;0,(S$236-$P109)/$M109&lt;1),(S$236-$P109)/$M109,IF((S$236-$P109)/$M109&gt;0,1,0)),0)</f>
        <v>0</v>
      </c>
      <c r="T109" s="113">
        <f>IFERROR(IF(AND((T$236-$P109)/$M109&gt;0,(T$236-$P109)/$M109&lt;1),(T$236-$P109)/$M109,IF((T$236-$P109)/$M109&gt;0,1,0)),0)</f>
        <v>0</v>
      </c>
      <c r="U109" s="113">
        <f>IFERROR(IF(AND((U$236-$P109)/$M109&gt;0,(U$236-$P109)/$M109&lt;1),(U$236-$P109)/$M109,IF((U$236-$P109)/$M109&gt;0,1,0)),0)</f>
        <v>0</v>
      </c>
      <c r="V109" s="114">
        <f t="shared" si="32"/>
        <v>0</v>
      </c>
      <c r="W109" s="114">
        <f t="shared" si="80"/>
        <v>0</v>
      </c>
      <c r="X109" s="114">
        <f t="shared" si="81"/>
        <v>0</v>
      </c>
      <c r="Y109" s="114">
        <f t="shared" si="82"/>
        <v>0</v>
      </c>
      <c r="Z109" s="114">
        <f t="shared" si="83"/>
        <v>0</v>
      </c>
    </row>
    <row r="110" spans="1:27" s="10" customFormat="1" ht="21" customHeight="1" x14ac:dyDescent="0.25">
      <c r="A110" s="397"/>
      <c r="B110" s="382"/>
      <c r="C110" s="124" t="str">
        <f>+'RVK SVÆDI'!C88</f>
        <v>Borgartún 24</v>
      </c>
      <c r="D110" s="116">
        <f>+'RVK SVÆDI'!D88</f>
        <v>1</v>
      </c>
      <c r="E110" s="129" t="str">
        <f>+'RVK SVÆDI'!E88</f>
        <v>Laugardalur</v>
      </c>
      <c r="F110" s="117" t="str">
        <f>+'RVK SVÆDI'!F88</f>
        <v>Laugarnesskóli</v>
      </c>
      <c r="G110" s="118"/>
      <c r="H110" s="118"/>
      <c r="I110" s="118"/>
      <c r="J110" s="119"/>
      <c r="K110" s="117"/>
      <c r="L110" s="120"/>
      <c r="M110" s="117"/>
      <c r="N110" s="120"/>
      <c r="O110" s="120"/>
      <c r="P110" s="117"/>
      <c r="Q110" s="121"/>
      <c r="R110" s="121"/>
      <c r="S110" s="121"/>
      <c r="T110" s="121"/>
      <c r="U110" s="121"/>
      <c r="V110" s="122"/>
      <c r="W110" s="122"/>
      <c r="X110" s="122"/>
      <c r="Y110" s="122"/>
      <c r="Z110" s="122"/>
      <c r="AA110" s="117"/>
    </row>
    <row r="111" spans="1:27" s="10" customFormat="1" ht="21" customHeight="1" x14ac:dyDescent="0.25">
      <c r="A111" s="397"/>
      <c r="B111" s="382"/>
      <c r="C111" s="124" t="str">
        <f>+'RVK SVÆDI'!C89</f>
        <v>Borgartún 34-36</v>
      </c>
      <c r="D111" s="116">
        <f>+'RVK SVÆDI'!D89</f>
        <v>2</v>
      </c>
      <c r="E111" s="129" t="str">
        <f>+'RVK SVÆDI'!E89</f>
        <v>Laugardalur</v>
      </c>
      <c r="F111" s="117" t="str">
        <f>+'RVK SVÆDI'!F89</f>
        <v>Laugarnesskóli</v>
      </c>
      <c r="G111" s="118"/>
      <c r="H111" s="118"/>
      <c r="I111" s="118"/>
      <c r="J111" s="119"/>
      <c r="K111" s="117"/>
      <c r="L111" s="120"/>
      <c r="M111" s="117"/>
      <c r="N111" s="120"/>
      <c r="O111" s="120"/>
      <c r="P111" s="117"/>
      <c r="Q111" s="121"/>
      <c r="R111" s="121"/>
      <c r="S111" s="121"/>
      <c r="T111" s="121"/>
      <c r="U111" s="121"/>
      <c r="V111" s="122"/>
      <c r="W111" s="122"/>
      <c r="X111" s="122"/>
      <c r="Y111" s="122"/>
      <c r="Z111" s="122"/>
      <c r="AA111" s="117"/>
    </row>
    <row r="112" spans="1:27" s="10" customFormat="1" ht="21" customHeight="1" x14ac:dyDescent="0.25">
      <c r="A112" s="397"/>
      <c r="B112" s="382"/>
      <c r="C112" s="124" t="str">
        <f>+'RVK SVÆDI'!C90</f>
        <v>Borgartún 28</v>
      </c>
      <c r="D112" s="116">
        <f>+'RVK SVÆDI'!D90</f>
        <v>1</v>
      </c>
      <c r="E112" s="129" t="str">
        <f>+'RVK SVÆDI'!E90</f>
        <v>Laugardalur</v>
      </c>
      <c r="F112" s="117" t="str">
        <f>+'RVK SVÆDI'!F90</f>
        <v>Laugarnesskóli</v>
      </c>
      <c r="G112" s="118">
        <v>300</v>
      </c>
      <c r="H112" s="118">
        <v>300</v>
      </c>
      <c r="I112" s="118">
        <f>+G112-H112</f>
        <v>0</v>
      </c>
      <c r="J112" s="119">
        <f>+IF(D112=1,(G112-H112-I112),IF(D112=2,(G112-H112-I112),0))</f>
        <v>0</v>
      </c>
      <c r="K112" s="117"/>
      <c r="L112" s="120"/>
      <c r="M112" s="117"/>
      <c r="N112" s="120"/>
      <c r="O112" s="120"/>
      <c r="P112" s="117"/>
      <c r="Q112" s="121"/>
      <c r="R112" s="121"/>
      <c r="S112" s="121"/>
      <c r="T112" s="121"/>
      <c r="U112" s="121"/>
      <c r="V112" s="122"/>
      <c r="W112" s="122"/>
      <c r="X112" s="122"/>
      <c r="Y112" s="122"/>
      <c r="Z112" s="122"/>
      <c r="AA112" s="117"/>
    </row>
    <row r="113" spans="1:27" s="10" customFormat="1" ht="21" customHeight="1" x14ac:dyDescent="0.25">
      <c r="A113" s="397"/>
      <c r="B113" s="382"/>
      <c r="C113" s="124" t="str">
        <f>+'RVK SVÆDI'!C91</f>
        <v>Sóltún 2-4</v>
      </c>
      <c r="D113" s="116">
        <f>+'RVK SVÆDI'!D91</f>
        <v>2</v>
      </c>
      <c r="E113" s="129" t="str">
        <f>+'RVK SVÆDI'!E91</f>
        <v>Laugardalur</v>
      </c>
      <c r="F113" s="117" t="str">
        <f>+'RVK SVÆDI'!F91</f>
        <v>Laugarnesskóli</v>
      </c>
      <c r="G113" s="118"/>
      <c r="H113" s="118"/>
      <c r="I113" s="118"/>
      <c r="J113" s="119"/>
      <c r="K113" s="117"/>
      <c r="L113" s="120"/>
      <c r="M113" s="117"/>
      <c r="N113" s="120"/>
      <c r="O113" s="120"/>
      <c r="P113" s="117"/>
      <c r="Q113" s="121"/>
      <c r="R113" s="121"/>
      <c r="S113" s="121"/>
      <c r="T113" s="121"/>
      <c r="U113" s="121"/>
      <c r="V113" s="122"/>
      <c r="W113" s="122"/>
      <c r="X113" s="122"/>
      <c r="Y113" s="122"/>
      <c r="Z113" s="122"/>
      <c r="AA113" s="117"/>
    </row>
    <row r="114" spans="1:27" s="10" customFormat="1" ht="21" customHeight="1" x14ac:dyDescent="0.25">
      <c r="A114" s="397"/>
      <c r="B114" s="382"/>
      <c r="C114" s="124" t="str">
        <f>+'RVK SVÆDI'!C92</f>
        <v>Hátún+</v>
      </c>
      <c r="D114" s="116">
        <f>+'RVK SVÆDI'!D92</f>
        <v>5</v>
      </c>
      <c r="E114" s="129" t="str">
        <f>+'RVK SVÆDI'!E92</f>
        <v>Laugardalur</v>
      </c>
      <c r="F114" s="117" t="str">
        <f>+'RVK SVÆDI'!F92</f>
        <v>Laugarnesskóli</v>
      </c>
      <c r="G114" s="118"/>
      <c r="H114" s="118"/>
      <c r="I114" s="118"/>
      <c r="J114" s="119"/>
      <c r="K114" s="117"/>
      <c r="L114" s="120"/>
      <c r="M114" s="117"/>
      <c r="N114" s="120"/>
      <c r="O114" s="120"/>
      <c r="P114" s="117"/>
      <c r="Q114" s="121"/>
      <c r="R114" s="121"/>
      <c r="S114" s="121"/>
      <c r="T114" s="121"/>
      <c r="U114" s="121"/>
      <c r="V114" s="122"/>
      <c r="W114" s="122"/>
      <c r="X114" s="122"/>
      <c r="Y114" s="122"/>
      <c r="Z114" s="122"/>
      <c r="AA114" s="117"/>
    </row>
    <row r="115" spans="1:27" ht="21" customHeight="1" x14ac:dyDescent="0.25">
      <c r="A115" s="397"/>
      <c r="B115" s="382"/>
      <c r="C115" s="7" t="str">
        <f>+'RVK SVÆDI'!C93</f>
        <v>Kirkjusandur</v>
      </c>
      <c r="D115" s="8">
        <f>+'RVK SVÆDI'!D93</f>
        <v>1</v>
      </c>
      <c r="E115" s="6" t="str">
        <f>+'RVK SVÆDI'!E93</f>
        <v>Laugardalur</v>
      </c>
      <c r="F115" s="6" t="str">
        <f>+'RVK SVÆDI'!F93</f>
        <v>Laugarnesskóli</v>
      </c>
      <c r="G115" s="108">
        <v>48200</v>
      </c>
      <c r="H115" s="130">
        <v>8100</v>
      </c>
      <c r="I115" s="130">
        <v>550</v>
      </c>
      <c r="J115" s="109">
        <f t="shared" si="3"/>
        <v>39550</v>
      </c>
      <c r="L115" s="110" t="s">
        <v>306</v>
      </c>
      <c r="M115" s="111"/>
      <c r="N115" s="111"/>
      <c r="O115" s="111"/>
      <c r="P115" s="111"/>
      <c r="Q115" s="111"/>
      <c r="R115" s="111"/>
      <c r="S115" s="111"/>
      <c r="T115" s="111"/>
      <c r="U115" s="111"/>
      <c r="V115" s="112">
        <v>1750</v>
      </c>
      <c r="W115" s="112">
        <v>6350</v>
      </c>
      <c r="X115" s="112">
        <v>0</v>
      </c>
      <c r="Y115" s="112">
        <v>550</v>
      </c>
      <c r="Z115" s="112">
        <v>0</v>
      </c>
    </row>
    <row r="116" spans="1:27" s="10" customFormat="1" ht="21" customHeight="1" x14ac:dyDescent="0.25">
      <c r="A116" s="397"/>
      <c r="B116" s="382"/>
      <c r="C116" s="124" t="str">
        <f>+'RVK SVÆDI'!C94</f>
        <v>Kirkjusandur-Íslandsbankalóð (A reitur)</v>
      </c>
      <c r="D116" s="116">
        <f>+'RVK SVÆDI'!D94</f>
        <v>3</v>
      </c>
      <c r="E116" s="6" t="str">
        <f>+'RVK SVÆDI'!E94</f>
        <v>Laugardalur</v>
      </c>
      <c r="F116" s="117" t="str">
        <f>+'RVK SVÆDI'!F94</f>
        <v>Laugarnesskóli</v>
      </c>
      <c r="G116" s="118"/>
      <c r="H116" s="118"/>
      <c r="I116" s="118"/>
      <c r="J116" s="119"/>
      <c r="K116" s="117"/>
      <c r="L116" s="120"/>
      <c r="M116" s="117"/>
      <c r="N116" s="120"/>
      <c r="O116" s="120"/>
      <c r="P116" s="117"/>
      <c r="Q116" s="121"/>
      <c r="R116" s="121"/>
      <c r="S116" s="121"/>
      <c r="T116" s="121"/>
      <c r="U116" s="121"/>
      <c r="V116" s="122"/>
      <c r="W116" s="122"/>
      <c r="X116" s="122"/>
      <c r="Y116" s="122"/>
      <c r="Z116" s="122"/>
      <c r="AA116" s="117"/>
    </row>
    <row r="117" spans="1:27" s="10" customFormat="1" ht="21" customHeight="1" x14ac:dyDescent="0.25">
      <c r="A117" s="397"/>
      <c r="B117" s="382"/>
      <c r="C117" s="124" t="str">
        <f>+'RVK SVÆDI'!C95</f>
        <v>Kirkjusandur-endurskoðun F reits</v>
      </c>
      <c r="D117" s="116">
        <f>+'RVK SVÆDI'!D95</f>
        <v>3</v>
      </c>
      <c r="E117" s="6" t="str">
        <f>+'RVK SVÆDI'!E95</f>
        <v>Laugardalur</v>
      </c>
      <c r="F117" s="117" t="str">
        <f>+'RVK SVÆDI'!F95</f>
        <v>Laugarnesskóli</v>
      </c>
      <c r="G117" s="118"/>
      <c r="H117" s="118"/>
      <c r="I117" s="118"/>
      <c r="J117" s="119"/>
      <c r="K117" s="117"/>
      <c r="L117" s="120"/>
      <c r="M117" s="117"/>
      <c r="N117" s="120"/>
      <c r="O117" s="120"/>
      <c r="P117" s="117"/>
      <c r="Q117" s="121"/>
      <c r="R117" s="121"/>
      <c r="S117" s="121"/>
      <c r="T117" s="121"/>
      <c r="U117" s="121"/>
      <c r="V117" s="122"/>
      <c r="W117" s="122"/>
      <c r="X117" s="122"/>
      <c r="Y117" s="122"/>
      <c r="Z117" s="122"/>
      <c r="AA117" s="117"/>
    </row>
    <row r="118" spans="1:27" ht="21" customHeight="1" x14ac:dyDescent="0.25">
      <c r="A118" s="397"/>
      <c r="B118" s="382"/>
      <c r="C118" s="7" t="str">
        <f>+'RVK SVÆDI'!C96</f>
        <v>Blómavalsreitur</v>
      </c>
      <c r="D118" s="8">
        <f>+'RVK SVÆDI'!D96</f>
        <v>2</v>
      </c>
      <c r="E118" s="6" t="str">
        <f>+'RVK SVÆDI'!E96</f>
        <v>Laugardalur</v>
      </c>
      <c r="F118" s="6" t="str">
        <f>+'RVK SVÆDI'!F96</f>
        <v>Laugarnesskóli</v>
      </c>
      <c r="G118" s="108">
        <v>9000</v>
      </c>
      <c r="H118" s="108">
        <v>0</v>
      </c>
      <c r="I118" s="108">
        <v>0</v>
      </c>
      <c r="J118" s="109">
        <f t="shared" si="3"/>
        <v>9000</v>
      </c>
      <c r="L118" s="112">
        <v>2.5</v>
      </c>
      <c r="M118" s="6">
        <f t="shared" si="84"/>
        <v>30</v>
      </c>
      <c r="N118" s="112">
        <v>48</v>
      </c>
      <c r="O118" s="112">
        <v>16</v>
      </c>
      <c r="P118" s="6">
        <f t="shared" si="57"/>
        <v>82</v>
      </c>
      <c r="Q118" s="113">
        <f t="shared" ref="Q118:U123" si="85">IFERROR(IF(AND((Q$236-$P118)/$M118&gt;0,(Q$236-$P118)/$M118&lt;1),(Q$236-$P118)/$M118,IF((Q$236-$P118)/$M118&gt;0,1,0)),0)</f>
        <v>0</v>
      </c>
      <c r="R118" s="113">
        <f t="shared" si="85"/>
        <v>0</v>
      </c>
      <c r="S118" s="113">
        <f t="shared" si="85"/>
        <v>0</v>
      </c>
      <c r="T118" s="113">
        <f t="shared" si="85"/>
        <v>0</v>
      </c>
      <c r="U118" s="113">
        <f t="shared" si="85"/>
        <v>0</v>
      </c>
      <c r="V118" s="114">
        <f t="shared" si="32"/>
        <v>0</v>
      </c>
      <c r="W118" s="114">
        <f t="shared" ref="W118:W123" si="86">R118*($G118-$H118)-V118</f>
        <v>0</v>
      </c>
      <c r="X118" s="114">
        <f t="shared" ref="X118:X123" si="87">S118*($G118-$H118)-SUM(V118:W118)</f>
        <v>0</v>
      </c>
      <c r="Y118" s="114">
        <f t="shared" ref="Y118:Y123" si="88">T118*($G118-$H118)-SUM(V118:X118)</f>
        <v>0</v>
      </c>
      <c r="Z118" s="114">
        <f t="shared" ref="Z118:Z123" si="89">U118*($G118-$H118)-SUM(V118:Y118)</f>
        <v>0</v>
      </c>
    </row>
    <row r="119" spans="1:27" s="10" customFormat="1" ht="21" customHeight="1" x14ac:dyDescent="0.25">
      <c r="A119" s="397"/>
      <c r="B119" s="382"/>
      <c r="C119" s="124" t="str">
        <f>+'RVK SVÆDI'!C97</f>
        <v>SS-lóð (LHÍ-reitur)</v>
      </c>
      <c r="D119" s="116">
        <f>+'RVK SVÆDI'!D97</f>
        <v>4</v>
      </c>
      <c r="E119" s="129" t="str">
        <f>+'RVK SVÆDI'!E97</f>
        <v>Laugardalur</v>
      </c>
      <c r="F119" s="117" t="str">
        <f>+'RVK SVÆDI'!F97</f>
        <v>Laugarnesskóli</v>
      </c>
      <c r="G119" s="118">
        <v>0</v>
      </c>
      <c r="H119" s="118">
        <v>0</v>
      </c>
      <c r="I119" s="118">
        <v>0</v>
      </c>
      <c r="J119" s="119">
        <f t="shared" si="3"/>
        <v>0</v>
      </c>
      <c r="K119" s="117"/>
      <c r="L119" s="120">
        <v>1</v>
      </c>
      <c r="M119" s="117">
        <f t="shared" si="84"/>
        <v>12</v>
      </c>
      <c r="N119" s="120">
        <v>48</v>
      </c>
      <c r="O119" s="120">
        <v>14</v>
      </c>
      <c r="P119" s="117">
        <f t="shared" si="57"/>
        <v>80</v>
      </c>
      <c r="Q119" s="121">
        <f t="shared" si="85"/>
        <v>0</v>
      </c>
      <c r="R119" s="121">
        <f t="shared" si="85"/>
        <v>0</v>
      </c>
      <c r="S119" s="121">
        <f t="shared" si="85"/>
        <v>0</v>
      </c>
      <c r="T119" s="121">
        <f t="shared" si="85"/>
        <v>0</v>
      </c>
      <c r="U119" s="121">
        <f t="shared" si="85"/>
        <v>0</v>
      </c>
      <c r="V119" s="122">
        <f t="shared" si="32"/>
        <v>0</v>
      </c>
      <c r="W119" s="122">
        <f t="shared" si="86"/>
        <v>0</v>
      </c>
      <c r="X119" s="122">
        <f t="shared" si="87"/>
        <v>0</v>
      </c>
      <c r="Y119" s="122">
        <f t="shared" si="88"/>
        <v>0</v>
      </c>
      <c r="Z119" s="122">
        <f t="shared" si="89"/>
        <v>0</v>
      </c>
      <c r="AA119" s="117"/>
    </row>
    <row r="120" spans="1:27" ht="21" customHeight="1" x14ac:dyDescent="0.25">
      <c r="A120" s="397"/>
      <c r="B120" s="382"/>
      <c r="C120" s="7" t="str">
        <f>+'RVK SVÆDI'!C98</f>
        <v>Köllunarklettur</v>
      </c>
      <c r="D120" s="8">
        <f>+'RVK SVÆDI'!D98</f>
        <v>4</v>
      </c>
      <c r="E120" s="6" t="str">
        <f>+'RVK SVÆDI'!E98</f>
        <v>Laugardalur</v>
      </c>
      <c r="F120" s="6" t="str">
        <f>+'RVK SVÆDI'!F98</f>
        <v>Laugarnesskóli</v>
      </c>
      <c r="G120" s="108">
        <v>85000</v>
      </c>
      <c r="H120" s="108">
        <v>0</v>
      </c>
      <c r="I120" s="108">
        <v>0</v>
      </c>
      <c r="J120" s="109">
        <f t="shared" si="3"/>
        <v>0</v>
      </c>
      <c r="L120" s="112">
        <v>10</v>
      </c>
      <c r="M120" s="6">
        <f t="shared" si="84"/>
        <v>120</v>
      </c>
      <c r="N120" s="112">
        <v>48</v>
      </c>
      <c r="O120" s="112">
        <v>14</v>
      </c>
      <c r="P120" s="6">
        <f t="shared" si="57"/>
        <v>80</v>
      </c>
      <c r="Q120" s="113">
        <f t="shared" si="85"/>
        <v>0</v>
      </c>
      <c r="R120" s="113">
        <f t="shared" si="85"/>
        <v>0</v>
      </c>
      <c r="S120" s="113">
        <f t="shared" si="85"/>
        <v>0</v>
      </c>
      <c r="T120" s="113">
        <f t="shared" si="85"/>
        <v>0</v>
      </c>
      <c r="U120" s="113">
        <f t="shared" si="85"/>
        <v>0</v>
      </c>
      <c r="V120" s="114">
        <f t="shared" si="32"/>
        <v>0</v>
      </c>
      <c r="W120" s="114">
        <f t="shared" si="86"/>
        <v>0</v>
      </c>
      <c r="X120" s="114">
        <f t="shared" si="87"/>
        <v>0</v>
      </c>
      <c r="Y120" s="114">
        <f t="shared" si="88"/>
        <v>0</v>
      </c>
      <c r="Z120" s="114">
        <f t="shared" si="89"/>
        <v>0</v>
      </c>
    </row>
    <row r="121" spans="1:27" ht="21" customHeight="1" x14ac:dyDescent="0.25">
      <c r="A121" s="397"/>
      <c r="B121" s="382"/>
      <c r="C121" s="7" t="str">
        <f>+'RVK SVÆDI'!C99</f>
        <v>Vatnagarðar Súðarvogur (M9)</v>
      </c>
      <c r="D121" s="8">
        <f>+'RVK SVÆDI'!D99</f>
        <v>5</v>
      </c>
      <c r="E121" s="6" t="str">
        <f>+'RVK SVÆDI'!E99</f>
        <v>Laugardalur</v>
      </c>
      <c r="F121" s="6" t="str">
        <f>+'RVK SVÆDI'!F99</f>
        <v>Laugarnesskóli</v>
      </c>
      <c r="G121" s="108">
        <v>10000</v>
      </c>
      <c r="H121" s="108">
        <v>0</v>
      </c>
      <c r="I121" s="108">
        <v>0</v>
      </c>
      <c r="J121" s="109">
        <f t="shared" si="3"/>
        <v>0</v>
      </c>
      <c r="L121" s="112">
        <v>11</v>
      </c>
      <c r="M121" s="6">
        <f t="shared" si="84"/>
        <v>132</v>
      </c>
      <c r="N121" s="112">
        <v>84</v>
      </c>
      <c r="O121" s="112">
        <v>14</v>
      </c>
      <c r="P121" s="6">
        <f t="shared" si="57"/>
        <v>116</v>
      </c>
      <c r="Q121" s="113">
        <f t="shared" si="85"/>
        <v>0</v>
      </c>
      <c r="R121" s="113">
        <f t="shared" si="85"/>
        <v>0</v>
      </c>
      <c r="S121" s="113">
        <f t="shared" si="85"/>
        <v>0</v>
      </c>
      <c r="T121" s="113">
        <f t="shared" si="85"/>
        <v>0</v>
      </c>
      <c r="U121" s="113">
        <f t="shared" si="85"/>
        <v>0</v>
      </c>
      <c r="V121" s="114">
        <f t="shared" si="32"/>
        <v>0</v>
      </c>
      <c r="W121" s="114">
        <f t="shared" si="86"/>
        <v>0</v>
      </c>
      <c r="X121" s="114">
        <f t="shared" si="87"/>
        <v>0</v>
      </c>
      <c r="Y121" s="114">
        <f t="shared" si="88"/>
        <v>0</v>
      </c>
      <c r="Z121" s="114">
        <f t="shared" si="89"/>
        <v>0</v>
      </c>
    </row>
    <row r="122" spans="1:27" ht="21" customHeight="1" x14ac:dyDescent="0.25">
      <c r="A122" s="397"/>
      <c r="B122" s="382"/>
      <c r="C122" s="7" t="str">
        <f>+'RVK SVÆDI'!C100</f>
        <v>Múlar-Suðurlandsbraut (M2c,d,e,f)</v>
      </c>
      <c r="D122" s="8">
        <f>+'RVK SVÆDI'!D100</f>
        <v>4</v>
      </c>
      <c r="E122" s="6" t="str">
        <f>+'RVK SVÆDI'!E100</f>
        <v>Laugardalur</v>
      </c>
      <c r="F122" s="6" t="str">
        <f>+'RVK SVÆDI'!F100</f>
        <v>Langholtsskóli</v>
      </c>
      <c r="G122" s="130">
        <v>30000</v>
      </c>
      <c r="H122" s="108">
        <v>0</v>
      </c>
      <c r="I122" s="108">
        <v>0</v>
      </c>
      <c r="J122" s="109">
        <f t="shared" si="3"/>
        <v>0</v>
      </c>
      <c r="L122" s="112">
        <v>3</v>
      </c>
      <c r="M122" s="6">
        <f t="shared" si="84"/>
        <v>36</v>
      </c>
      <c r="N122" s="112">
        <v>48</v>
      </c>
      <c r="O122" s="112">
        <v>14</v>
      </c>
      <c r="P122" s="6">
        <f t="shared" si="57"/>
        <v>80</v>
      </c>
      <c r="Q122" s="113">
        <f t="shared" si="85"/>
        <v>0</v>
      </c>
      <c r="R122" s="113">
        <f t="shared" si="85"/>
        <v>0</v>
      </c>
      <c r="S122" s="113">
        <f t="shared" si="85"/>
        <v>0</v>
      </c>
      <c r="T122" s="113">
        <f t="shared" si="85"/>
        <v>0</v>
      </c>
      <c r="U122" s="113">
        <f t="shared" si="85"/>
        <v>0</v>
      </c>
      <c r="V122" s="114">
        <f t="shared" si="32"/>
        <v>0</v>
      </c>
      <c r="W122" s="114">
        <f t="shared" si="86"/>
        <v>0</v>
      </c>
      <c r="X122" s="114">
        <f t="shared" si="87"/>
        <v>0</v>
      </c>
      <c r="Y122" s="114">
        <f t="shared" si="88"/>
        <v>0</v>
      </c>
      <c r="Z122" s="114">
        <f t="shared" si="89"/>
        <v>0</v>
      </c>
    </row>
    <row r="123" spans="1:27" ht="21" customHeight="1" x14ac:dyDescent="0.25">
      <c r="A123" s="397"/>
      <c r="B123" s="382"/>
      <c r="C123" s="7" t="str">
        <f>+'RVK SVÆDI'!C101</f>
        <v>Suðurlandsbraut-Laugardalur (M2g)</v>
      </c>
      <c r="D123" s="8">
        <f>+'RVK SVÆDI'!D101</f>
        <v>5</v>
      </c>
      <c r="E123" s="6" t="str">
        <f>+'RVK SVÆDI'!E101</f>
        <v>Laugardalur</v>
      </c>
      <c r="F123" s="6" t="str">
        <f>+'RVK SVÆDI'!F101</f>
        <v>Langholtsskóli</v>
      </c>
      <c r="G123" s="130">
        <v>3000</v>
      </c>
      <c r="H123" s="108">
        <v>0</v>
      </c>
      <c r="I123" s="108">
        <v>0</v>
      </c>
      <c r="J123" s="109">
        <f t="shared" si="3"/>
        <v>0</v>
      </c>
      <c r="L123" s="112">
        <v>2</v>
      </c>
      <c r="M123" s="6">
        <f t="shared" si="84"/>
        <v>24</v>
      </c>
      <c r="N123" s="112">
        <v>48</v>
      </c>
      <c r="O123" s="112">
        <v>14</v>
      </c>
      <c r="P123" s="6">
        <f t="shared" si="57"/>
        <v>80</v>
      </c>
      <c r="Q123" s="113">
        <f t="shared" si="85"/>
        <v>0</v>
      </c>
      <c r="R123" s="113">
        <f t="shared" si="85"/>
        <v>0</v>
      </c>
      <c r="S123" s="113">
        <f t="shared" si="85"/>
        <v>0</v>
      </c>
      <c r="T123" s="113">
        <f t="shared" si="85"/>
        <v>0</v>
      </c>
      <c r="U123" s="113">
        <f t="shared" si="85"/>
        <v>0</v>
      </c>
      <c r="V123" s="114">
        <f t="shared" si="32"/>
        <v>0</v>
      </c>
      <c r="W123" s="114">
        <f t="shared" si="86"/>
        <v>0</v>
      </c>
      <c r="X123" s="114">
        <f t="shared" si="87"/>
        <v>0</v>
      </c>
      <c r="Y123" s="114">
        <f t="shared" si="88"/>
        <v>0</v>
      </c>
      <c r="Z123" s="114">
        <f t="shared" si="89"/>
        <v>0</v>
      </c>
    </row>
    <row r="124" spans="1:27" s="10" customFormat="1" ht="21" customHeight="1" x14ac:dyDescent="0.25">
      <c r="A124" s="397"/>
      <c r="B124" s="382"/>
      <c r="C124" s="124" t="str">
        <f>+'RVK SVÆDI'!C102</f>
        <v>Álfheimar 49 (B)</v>
      </c>
      <c r="D124" s="116">
        <f>+'RVK SVÆDI'!D102</f>
        <v>5</v>
      </c>
      <c r="E124" s="129" t="str">
        <f>+'RVK SVÆDI'!E102</f>
        <v>Laugardalur</v>
      </c>
      <c r="F124" s="117" t="str">
        <f>+'RVK SVÆDI'!F102</f>
        <v>Vogaskóli</v>
      </c>
      <c r="G124" s="118"/>
      <c r="H124" s="118"/>
      <c r="I124" s="118"/>
      <c r="J124" s="119"/>
      <c r="K124" s="117"/>
      <c r="L124" s="120"/>
      <c r="M124" s="117"/>
      <c r="N124" s="120"/>
      <c r="O124" s="120"/>
      <c r="P124" s="117"/>
      <c r="Q124" s="121"/>
      <c r="R124" s="121"/>
      <c r="S124" s="121"/>
      <c r="T124" s="121"/>
      <c r="U124" s="121"/>
      <c r="V124" s="122"/>
      <c r="W124" s="122"/>
      <c r="X124" s="122"/>
      <c r="Y124" s="122"/>
      <c r="Z124" s="122"/>
      <c r="AA124" s="117"/>
    </row>
    <row r="125" spans="1:27" ht="21" customHeight="1" x14ac:dyDescent="0.25">
      <c r="A125" s="397"/>
      <c r="B125" s="382"/>
      <c r="C125" s="7" t="str">
        <f>+'RVK SVÆDI'!C103</f>
        <v>Skeifan - Sogamýri</v>
      </c>
      <c r="D125" s="8">
        <f>+'RVK SVÆDI'!D103</f>
        <v>4</v>
      </c>
      <c r="E125" s="6" t="str">
        <f>+'RVK SVÆDI'!E103</f>
        <v>Laugardalur</v>
      </c>
      <c r="F125" s="6" t="str">
        <f>+'RVK SVÆDI'!F103</f>
        <v>Álftamýrarskóli</v>
      </c>
      <c r="G125" s="108">
        <v>15000</v>
      </c>
      <c r="H125" s="108">
        <v>0</v>
      </c>
      <c r="I125" s="108">
        <v>0</v>
      </c>
      <c r="J125" s="109">
        <f t="shared" si="3"/>
        <v>0</v>
      </c>
      <c r="L125" s="112">
        <v>11</v>
      </c>
      <c r="M125" s="6">
        <f t="shared" si="84"/>
        <v>132</v>
      </c>
      <c r="N125" s="112">
        <v>48</v>
      </c>
      <c r="O125" s="112">
        <v>14</v>
      </c>
      <c r="P125" s="6">
        <f t="shared" si="57"/>
        <v>80</v>
      </c>
      <c r="Q125" s="113">
        <f>IFERROR(IF(AND((Q$236-$P125)/$M125&gt;0,(Q$236-$P125)/$M125&lt;1),(Q$236-$P125)/$M125,IF((Q$236-$P125)/$M125&gt;0,1,0)),0)</f>
        <v>0</v>
      </c>
      <c r="R125" s="113">
        <f>IFERROR(IF(AND((R$236-$P125)/$M125&gt;0,(R$236-$P125)/$M125&lt;1),(R$236-$P125)/$M125,IF((R$236-$P125)/$M125&gt;0,1,0)),0)</f>
        <v>0</v>
      </c>
      <c r="S125" s="113">
        <f>IFERROR(IF(AND((S$236-$P125)/$M125&gt;0,(S$236-$P125)/$M125&lt;1),(S$236-$P125)/$M125,IF((S$236-$P125)/$M125&gt;0,1,0)),0)</f>
        <v>0</v>
      </c>
      <c r="T125" s="113">
        <f>IFERROR(IF(AND((T$236-$P125)/$M125&gt;0,(T$236-$P125)/$M125&lt;1),(T$236-$P125)/$M125,IF((T$236-$P125)/$M125&gt;0,1,0)),0)</f>
        <v>0</v>
      </c>
      <c r="U125" s="113">
        <f>IFERROR(IF(AND((U$236-$P125)/$M125&gt;0,(U$236-$P125)/$M125&lt;1),(U$236-$P125)/$M125,IF((U$236-$P125)/$M125&gt;0,1,0)),0)</f>
        <v>0</v>
      </c>
      <c r="V125" s="114">
        <f t="shared" si="32"/>
        <v>0</v>
      </c>
      <c r="W125" s="114">
        <f>R125*($G125-$H125)-V125</f>
        <v>0</v>
      </c>
      <c r="X125" s="114">
        <f>S125*($G125-$H125)-SUM(V125:W125)</f>
        <v>0</v>
      </c>
      <c r="Y125" s="114">
        <f>T125*($G125-$H125)-SUM(V125:X125)</f>
        <v>0</v>
      </c>
      <c r="Z125" s="114">
        <f>U125*($G125-$H125)-SUM(V125:Y125)</f>
        <v>0</v>
      </c>
    </row>
    <row r="126" spans="1:27" ht="21" customHeight="1" x14ac:dyDescent="0.25">
      <c r="A126" s="397"/>
      <c r="B126" s="382"/>
      <c r="C126" s="7" t="str">
        <f>+'RVK SVÆDI'!C104</f>
        <v>Skeifan  - Grensásvegur 1</v>
      </c>
      <c r="D126" s="8">
        <f>+'RVK SVÆDI'!D104</f>
        <v>1</v>
      </c>
      <c r="E126" s="6" t="str">
        <f>+'RVK SVÆDI'!E104</f>
        <v>Laugardalur</v>
      </c>
      <c r="F126" s="6" t="str">
        <f>+'RVK SVÆDI'!F104</f>
        <v>Álftamýrarskóli</v>
      </c>
      <c r="G126" s="108">
        <v>100</v>
      </c>
      <c r="H126" s="108">
        <v>0</v>
      </c>
      <c r="I126" s="108">
        <v>0</v>
      </c>
      <c r="J126" s="109">
        <f t="shared" si="3"/>
        <v>100</v>
      </c>
      <c r="L126" s="110" t="s">
        <v>306</v>
      </c>
      <c r="M126" s="111"/>
      <c r="N126" s="111"/>
      <c r="O126" s="111"/>
      <c r="P126" s="111"/>
      <c r="Q126" s="111"/>
      <c r="R126" s="111"/>
      <c r="S126" s="111"/>
      <c r="T126" s="111"/>
      <c r="U126" s="111"/>
      <c r="V126" s="112">
        <v>-3400</v>
      </c>
      <c r="W126" s="112">
        <v>0</v>
      </c>
      <c r="X126" s="112">
        <v>0</v>
      </c>
      <c r="Y126" s="112">
        <v>-350</v>
      </c>
      <c r="Z126" s="112">
        <v>800</v>
      </c>
    </row>
    <row r="127" spans="1:27" ht="21" customHeight="1" x14ac:dyDescent="0.25">
      <c r="A127" s="397"/>
      <c r="B127" s="382"/>
      <c r="C127" s="7" t="str">
        <f>+'RVK SVÆDI'!C105</f>
        <v>Skeifan - Metróreitur</v>
      </c>
      <c r="D127" s="8">
        <f>+'RVK SVÆDI'!D105</f>
        <v>4</v>
      </c>
      <c r="E127" s="6" t="str">
        <f>+'RVK SVÆDI'!E105</f>
        <v>Laugardalur</v>
      </c>
      <c r="F127" s="6" t="str">
        <f>+'RVK SVÆDI'!F105</f>
        <v>Álftamýrarskóli</v>
      </c>
      <c r="G127" s="108">
        <v>0</v>
      </c>
      <c r="H127" s="108">
        <v>0</v>
      </c>
      <c r="I127" s="108">
        <v>0</v>
      </c>
      <c r="J127" s="109">
        <f t="shared" si="3"/>
        <v>0</v>
      </c>
      <c r="L127" s="120"/>
      <c r="M127" s="117"/>
      <c r="N127" s="120"/>
      <c r="O127" s="120"/>
      <c r="P127" s="117"/>
      <c r="Q127" s="121"/>
      <c r="R127" s="121"/>
      <c r="S127" s="121"/>
      <c r="T127" s="121"/>
      <c r="U127" s="121"/>
      <c r="V127" s="122"/>
      <c r="W127" s="122"/>
      <c r="X127" s="122"/>
      <c r="Y127" s="122"/>
      <c r="Z127" s="122"/>
    </row>
    <row r="128" spans="1:27" s="10" customFormat="1" ht="21" customHeight="1" x14ac:dyDescent="0.25">
      <c r="A128" s="397"/>
      <c r="B128" s="382"/>
      <c r="C128" s="124" t="str">
        <f>+'RVK SVÆDI'!C106</f>
        <v>Vogabyggð I</v>
      </c>
      <c r="D128" s="116">
        <f>+'RVK SVÆDI'!D106</f>
        <v>1</v>
      </c>
      <c r="E128" s="117" t="str">
        <f>+'RVK SVÆDI'!E106</f>
        <v>Laugardalur</v>
      </c>
      <c r="F128" s="117" t="str">
        <f>+'RVK SVÆDI'!F106</f>
        <v>Langholtsskóli</v>
      </c>
      <c r="G128" s="118"/>
      <c r="H128" s="118"/>
      <c r="I128" s="118"/>
      <c r="J128" s="119"/>
      <c r="K128" s="117"/>
      <c r="L128" s="120"/>
      <c r="M128" s="117"/>
      <c r="N128" s="120"/>
      <c r="O128" s="120"/>
      <c r="P128" s="117"/>
      <c r="Q128" s="121"/>
      <c r="R128" s="121"/>
      <c r="S128" s="121"/>
      <c r="T128" s="121"/>
      <c r="U128" s="121"/>
      <c r="V128" s="122"/>
      <c r="W128" s="122"/>
      <c r="X128" s="122"/>
      <c r="Y128" s="122"/>
      <c r="Z128" s="122"/>
      <c r="AA128" s="117"/>
    </row>
    <row r="129" spans="1:27" ht="21" customHeight="1" x14ac:dyDescent="0.25">
      <c r="A129" s="397"/>
      <c r="B129" s="382"/>
      <c r="C129" s="7" t="str">
        <f>+'RVK SVÆDI'!C107</f>
        <v>Vogabyggð II</v>
      </c>
      <c r="D129" s="8">
        <f>+'RVK SVÆDI'!D107</f>
        <v>1</v>
      </c>
      <c r="E129" s="6" t="str">
        <f>+'RVK SVÆDI'!E107</f>
        <v>Laugardalur</v>
      </c>
      <c r="F129" s="6" t="str">
        <f>+'RVK SVÆDI'!F107</f>
        <v>Vogaskóli</v>
      </c>
      <c r="G129" s="108">
        <v>27000</v>
      </c>
      <c r="H129" s="108">
        <v>0</v>
      </c>
      <c r="I129" s="108">
        <v>0</v>
      </c>
      <c r="J129" s="109">
        <f t="shared" si="3"/>
        <v>27000</v>
      </c>
      <c r="L129" s="110" t="s">
        <v>306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2">
        <v>0</v>
      </c>
      <c r="W129" s="112">
        <v>0</v>
      </c>
      <c r="X129" s="112">
        <v>0</v>
      </c>
      <c r="Y129" s="112">
        <v>0</v>
      </c>
      <c r="Z129" s="112">
        <v>0</v>
      </c>
    </row>
    <row r="130" spans="1:27" s="10" customFormat="1" ht="21" customHeight="1" x14ac:dyDescent="0.25">
      <c r="A130" s="397"/>
      <c r="B130" s="382"/>
      <c r="C130" s="124" t="str">
        <f>+'RVK SVÆDI'!C108</f>
        <v>Vogabyggð III</v>
      </c>
      <c r="D130" s="116">
        <f>+'RVK SVÆDI'!D108</f>
        <v>3</v>
      </c>
      <c r="E130" s="117" t="str">
        <f>+'RVK SVÆDI'!E108</f>
        <v>Laugardalur</v>
      </c>
      <c r="F130" s="117" t="str">
        <f>+'RVK SVÆDI'!F108</f>
        <v>Vogaskóli</v>
      </c>
      <c r="G130" s="118"/>
      <c r="H130" s="118"/>
      <c r="I130" s="118"/>
      <c r="J130" s="119"/>
      <c r="K130" s="117"/>
      <c r="L130" s="120"/>
      <c r="M130" s="117"/>
      <c r="N130" s="120"/>
      <c r="O130" s="120"/>
      <c r="P130" s="117"/>
      <c r="Q130" s="121"/>
      <c r="R130" s="121"/>
      <c r="S130" s="121"/>
      <c r="T130" s="121"/>
      <c r="U130" s="121"/>
      <c r="V130" s="122"/>
      <c r="W130" s="122"/>
      <c r="X130" s="122"/>
      <c r="Y130" s="122"/>
      <c r="Z130" s="122"/>
      <c r="AA130" s="117"/>
    </row>
    <row r="131" spans="1:27" ht="21" customHeight="1" x14ac:dyDescent="0.25">
      <c r="A131" s="397"/>
      <c r="B131" s="382"/>
      <c r="C131" s="7" t="str">
        <f>+'RVK SVÆDI'!C109</f>
        <v>Vogabyggð IV ásamt Sæbrautarstokk</v>
      </c>
      <c r="D131" s="8">
        <f>+'RVK SVÆDI'!D109</f>
        <v>4</v>
      </c>
      <c r="E131" s="6" t="str">
        <f>+'RVK SVÆDI'!E109</f>
        <v>Laugardalur</v>
      </c>
      <c r="F131" s="6" t="str">
        <f>+'RVK SVÆDI'!F109</f>
        <v>Vogaskóli</v>
      </c>
      <c r="G131" s="108">
        <f>300*23</f>
        <v>6900</v>
      </c>
      <c r="H131" s="108">
        <v>0</v>
      </c>
      <c r="I131" s="108">
        <v>0</v>
      </c>
      <c r="J131" s="109">
        <f t="shared" ref="J131:J197" si="90">+IF(D131=1,(G131-H131-I131),IF(D131=2,(G131-H131-I131),0))</f>
        <v>0</v>
      </c>
      <c r="L131" s="112">
        <v>6</v>
      </c>
      <c r="M131" s="6">
        <f t="shared" si="84"/>
        <v>72</v>
      </c>
      <c r="N131" s="112">
        <v>48</v>
      </c>
      <c r="O131" s="112">
        <v>14</v>
      </c>
      <c r="P131" s="6">
        <f t="shared" si="57"/>
        <v>80</v>
      </c>
      <c r="Q131" s="113">
        <f>IFERROR(IF(AND((Q$236-$P131)/$M131&gt;0,(Q$236-$P131)/$M131&lt;1),(Q$236-$P131)/$M131,IF((Q$236-$P131)/$M131&gt;0,1,0)),0)</f>
        <v>0</v>
      </c>
      <c r="R131" s="113">
        <f>IFERROR(IF(AND((R$236-$P131)/$M131&gt;0,(R$236-$P131)/$M131&lt;1),(R$236-$P131)/$M131,IF((R$236-$P131)/$M131&gt;0,1,0)),0)</f>
        <v>0</v>
      </c>
      <c r="S131" s="113">
        <f>IFERROR(IF(AND((S$236-$P131)/$M131&gt;0,(S$236-$P131)/$M131&lt;1),(S$236-$P131)/$M131,IF((S$236-$P131)/$M131&gt;0,1,0)),0)</f>
        <v>0</v>
      </c>
      <c r="T131" s="113">
        <f>IFERROR(IF(AND((T$236-$P131)/$M131&gt;0,(T$236-$P131)/$M131&lt;1),(T$236-$P131)/$M131,IF((T$236-$P131)/$M131&gt;0,1,0)),0)</f>
        <v>0</v>
      </c>
      <c r="U131" s="113">
        <f>IFERROR(IF(AND((U$236-$P131)/$M131&gt;0,(U$236-$P131)/$M131&lt;1),(U$236-$P131)/$M131,IF((U$236-$P131)/$M131&gt;0,1,0)),0)</f>
        <v>0</v>
      </c>
      <c r="V131" s="114">
        <f t="shared" si="32"/>
        <v>0</v>
      </c>
      <c r="W131" s="114">
        <f>R131*($G131-$H131)-V131</f>
        <v>0</v>
      </c>
      <c r="X131" s="114">
        <f>S131*($G131-$H131)-SUM(V131:W131)</f>
        <v>0</v>
      </c>
      <c r="Y131" s="114">
        <f>T131*($G131-$H131)-SUM(V131:X131)</f>
        <v>0</v>
      </c>
      <c r="Z131" s="114">
        <f>U131*($G131-$H131)-SUM(V131:Y131)</f>
        <v>0</v>
      </c>
    </row>
    <row r="132" spans="1:27" s="10" customFormat="1" ht="21" customHeight="1" x14ac:dyDescent="0.25">
      <c r="A132" s="397"/>
      <c r="B132" s="382"/>
      <c r="C132" s="124" t="str">
        <f>+'RVK SVÆDI'!C110</f>
        <v>Hólmasund-Þróttaraheimili</v>
      </c>
      <c r="D132" s="116">
        <f>+'RVK SVÆDI'!D110</f>
        <v>5</v>
      </c>
      <c r="E132" s="117" t="str">
        <f>+'RVK SVÆDI'!E110</f>
        <v>Laugardalur</v>
      </c>
      <c r="F132" s="117" t="str">
        <f>+'RVK SVÆDI'!F110</f>
        <v>Langholtsskóli</v>
      </c>
      <c r="G132" s="118"/>
      <c r="H132" s="118"/>
      <c r="I132" s="118"/>
      <c r="J132" s="119"/>
      <c r="K132" s="117"/>
      <c r="L132" s="120"/>
      <c r="M132" s="117"/>
      <c r="N132" s="120"/>
      <c r="O132" s="120"/>
      <c r="P132" s="117"/>
      <c r="Q132" s="121"/>
      <c r="R132" s="121"/>
      <c r="S132" s="121"/>
      <c r="T132" s="121"/>
      <c r="U132" s="121"/>
      <c r="V132" s="122"/>
      <c r="W132" s="122"/>
      <c r="X132" s="122"/>
      <c r="Y132" s="122"/>
      <c r="Z132" s="122"/>
      <c r="AA132" s="117"/>
    </row>
    <row r="133" spans="1:27" ht="21" customHeight="1" x14ac:dyDescent="0.25">
      <c r="A133" s="397"/>
      <c r="B133" s="382"/>
      <c r="C133" s="7" t="str">
        <f>+'RVK SVÆDI'!C111</f>
        <v>Sundahöfn H4</v>
      </c>
      <c r="D133" s="8">
        <f>+'RVK SVÆDI'!D111</f>
        <v>1</v>
      </c>
      <c r="E133" s="6" t="str">
        <f>+'RVK SVÆDI'!E111</f>
        <v>Laugardalur</v>
      </c>
      <c r="F133" s="6" t="str">
        <f>+'RVK SVÆDI'!F111</f>
        <v>Langholtsskóli</v>
      </c>
      <c r="G133" s="108">
        <v>36344</v>
      </c>
      <c r="H133" s="108">
        <v>0</v>
      </c>
      <c r="I133" s="108">
        <v>0</v>
      </c>
      <c r="J133" s="109">
        <f t="shared" si="90"/>
        <v>36344</v>
      </c>
      <c r="L133" s="110" t="s">
        <v>305</v>
      </c>
      <c r="M133" s="111"/>
      <c r="N133" s="111"/>
      <c r="O133" s="111"/>
      <c r="P133" s="111"/>
      <c r="Q133" s="111"/>
      <c r="R133" s="111"/>
      <c r="S133" s="111"/>
      <c r="T133" s="111"/>
      <c r="U133" s="111"/>
      <c r="V133" s="108">
        <v>0</v>
      </c>
      <c r="W133" s="108">
        <v>3000</v>
      </c>
      <c r="X133" s="108">
        <v>3000</v>
      </c>
      <c r="Y133" s="108">
        <v>3000</v>
      </c>
      <c r="Z133" s="108">
        <v>3000</v>
      </c>
    </row>
    <row r="134" spans="1:27" ht="21" customHeight="1" x14ac:dyDescent="0.25">
      <c r="A134" s="397"/>
      <c r="B134" s="382"/>
      <c r="C134" s="7" t="str">
        <f>+'RVK SVÆDI'!C112</f>
        <v>Sundahöfn H4 þróun</v>
      </c>
      <c r="D134" s="8">
        <f>+'RVK SVÆDI'!D112</f>
        <v>4</v>
      </c>
      <c r="E134" s="6" t="str">
        <f>+'RVK SVÆDI'!E112</f>
        <v>Laugardalur</v>
      </c>
      <c r="F134" s="6" t="str">
        <f>+'RVK SVÆDI'!F112</f>
        <v>Langholtsskóli</v>
      </c>
      <c r="G134" s="108">
        <v>113656</v>
      </c>
      <c r="H134" s="108">
        <v>0</v>
      </c>
      <c r="I134" s="108">
        <v>0</v>
      </c>
      <c r="J134" s="109">
        <f t="shared" si="90"/>
        <v>0</v>
      </c>
      <c r="L134" s="141">
        <v>16</v>
      </c>
      <c r="M134" s="6">
        <f t="shared" ref="M134" si="91">+L134*12</f>
        <v>192</v>
      </c>
      <c r="N134" s="112">
        <v>84</v>
      </c>
      <c r="O134" s="112">
        <v>14</v>
      </c>
      <c r="P134" s="6">
        <f t="shared" ref="P134" si="92">+N134+O134+18</f>
        <v>116</v>
      </c>
      <c r="Q134" s="113">
        <f t="shared" ref="Q134:U135" si="93">IFERROR(IF(AND((Q$236-$P134)/$M134&gt;0,(Q$236-$P134)/$M134&lt;1),(Q$236-$P134)/$M134,IF((Q$236-$P134)/$M134&gt;0,1,0)),0)</f>
        <v>0</v>
      </c>
      <c r="R134" s="113">
        <f t="shared" si="93"/>
        <v>0</v>
      </c>
      <c r="S134" s="113">
        <f t="shared" si="93"/>
        <v>0</v>
      </c>
      <c r="T134" s="113">
        <f t="shared" si="93"/>
        <v>0</v>
      </c>
      <c r="U134" s="113">
        <f t="shared" si="93"/>
        <v>0</v>
      </c>
      <c r="V134" s="114">
        <f>Q134*($G134-$H134)</f>
        <v>0</v>
      </c>
      <c r="W134" s="114">
        <f t="shared" ref="W134" si="94">R134*($G134-$H134)-V134</f>
        <v>0</v>
      </c>
      <c r="X134" s="114">
        <f t="shared" ref="X134" si="95">S134*($G134-$H134)-SUM(V134:W134)</f>
        <v>0</v>
      </c>
      <c r="Y134" s="114">
        <f t="shared" ref="Y134" si="96">T134*($G134-$H134)-SUM(V134:X134)</f>
        <v>0</v>
      </c>
      <c r="Z134" s="114">
        <f t="shared" ref="Z134" si="97">U134*($G134-$H134)-SUM(V134:Y134)</f>
        <v>0</v>
      </c>
    </row>
    <row r="135" spans="1:27" ht="21" customHeight="1" x14ac:dyDescent="0.25">
      <c r="A135" s="397"/>
      <c r="B135" s="382"/>
      <c r="C135" s="7" t="str">
        <f>+'RVK SVÆDI'!C113</f>
        <v>Kringlan rammaskipulag f.u. 1. áfanga</v>
      </c>
      <c r="D135" s="8">
        <f>+'RVK SVÆDI'!D113</f>
        <v>4</v>
      </c>
      <c r="E135" s="6" t="str">
        <f>+'RVK SVÆDI'!E113</f>
        <v>Háaleiti-Bústaðir</v>
      </c>
      <c r="F135" s="6" t="str">
        <f>+'RVK SVÆDI'!F113</f>
        <v>Hvassaleitisskóli</v>
      </c>
      <c r="G135" s="108">
        <v>50000</v>
      </c>
      <c r="H135" s="108">
        <v>0</v>
      </c>
      <c r="I135" s="108">
        <v>0</v>
      </c>
      <c r="J135" s="109">
        <f t="shared" si="90"/>
        <v>0</v>
      </c>
      <c r="L135" s="112">
        <v>6</v>
      </c>
      <c r="M135" s="6">
        <f t="shared" si="84"/>
        <v>72</v>
      </c>
      <c r="N135" s="112">
        <v>48</v>
      </c>
      <c r="O135" s="112">
        <v>16</v>
      </c>
      <c r="P135" s="6">
        <f t="shared" si="57"/>
        <v>82</v>
      </c>
      <c r="Q135" s="113">
        <f t="shared" si="93"/>
        <v>0</v>
      </c>
      <c r="R135" s="113">
        <f t="shared" si="93"/>
        <v>0</v>
      </c>
      <c r="S135" s="113">
        <f t="shared" si="93"/>
        <v>0</v>
      </c>
      <c r="T135" s="113">
        <f t="shared" si="93"/>
        <v>0</v>
      </c>
      <c r="U135" s="113">
        <f t="shared" si="93"/>
        <v>0</v>
      </c>
      <c r="V135" s="114">
        <f t="shared" si="32"/>
        <v>0</v>
      </c>
      <c r="W135" s="114">
        <f>R135*($G135-$H135)-V135</f>
        <v>0</v>
      </c>
      <c r="X135" s="114">
        <f>S135*($G135-$H135)-SUM(V135:W135)</f>
        <v>0</v>
      </c>
      <c r="Y135" s="114">
        <f>T135*($G135-$H135)-SUM(V135:X135)</f>
        <v>0</v>
      </c>
      <c r="Z135" s="114">
        <f>U135*($G135-$H135)-SUM(V135:Y135)</f>
        <v>0</v>
      </c>
    </row>
    <row r="136" spans="1:27" ht="21" customHeight="1" x14ac:dyDescent="0.25">
      <c r="A136" s="397"/>
      <c r="B136" s="382"/>
      <c r="C136" s="7" t="str">
        <f>+'RVK SVÆDI'!C114</f>
        <v>Kringlan 1 .áfangi deiliskipulags</v>
      </c>
      <c r="D136" s="8">
        <f>+'RVK SVÆDI'!D114</f>
        <v>3</v>
      </c>
      <c r="E136" s="6" t="str">
        <f>+'RVK SVÆDI'!E114</f>
        <v>Háaleiti-Bústaðir</v>
      </c>
      <c r="F136" s="6" t="str">
        <f>+'RVK SVÆDI'!F114</f>
        <v>Hvassaleitisskóli</v>
      </c>
      <c r="G136" s="108">
        <v>0</v>
      </c>
      <c r="H136" s="108">
        <v>0</v>
      </c>
      <c r="I136" s="108">
        <v>0</v>
      </c>
      <c r="J136" s="109">
        <f t="shared" si="90"/>
        <v>0</v>
      </c>
      <c r="L136" s="110" t="s">
        <v>305</v>
      </c>
      <c r="M136" s="111"/>
      <c r="N136" s="111"/>
      <c r="O136" s="111"/>
      <c r="P136" s="111"/>
      <c r="Q136" s="111"/>
      <c r="R136" s="111"/>
      <c r="S136" s="111"/>
      <c r="T136" s="111"/>
      <c r="U136" s="111"/>
      <c r="V136" s="108">
        <v>0</v>
      </c>
      <c r="W136" s="108">
        <v>0</v>
      </c>
      <c r="X136" s="108">
        <v>-7000</v>
      </c>
      <c r="Y136" s="108">
        <v>0</v>
      </c>
      <c r="Z136" s="108">
        <v>0</v>
      </c>
    </row>
    <row r="137" spans="1:27" s="10" customFormat="1" ht="21" customHeight="1" x14ac:dyDescent="0.25">
      <c r="A137" s="397"/>
      <c r="B137" s="382"/>
      <c r="C137" s="124" t="str">
        <f>+'RVK SVÆDI'!C115</f>
        <v>Sléttuvegur</v>
      </c>
      <c r="D137" s="116">
        <f>+'RVK SVÆDI'!D115</f>
        <v>1</v>
      </c>
      <c r="E137" s="117" t="str">
        <f>+'RVK SVÆDI'!E115</f>
        <v>Háaleiti-Bústaðir</v>
      </c>
      <c r="F137" s="117" t="str">
        <f>+'RVK SVÆDI'!F115</f>
        <v>Fossvogsskóli</v>
      </c>
      <c r="G137" s="118"/>
      <c r="H137" s="118"/>
      <c r="I137" s="118"/>
      <c r="J137" s="119"/>
      <c r="K137" s="117"/>
      <c r="L137" s="120"/>
      <c r="M137" s="117"/>
      <c r="N137" s="120"/>
      <c r="O137" s="120"/>
      <c r="P137" s="117"/>
      <c r="Q137" s="121"/>
      <c r="R137" s="121"/>
      <c r="S137" s="121"/>
      <c r="T137" s="121"/>
      <c r="U137" s="121"/>
      <c r="V137" s="122"/>
      <c r="W137" s="122"/>
      <c r="X137" s="122"/>
      <c r="Y137" s="122"/>
      <c r="Z137" s="122"/>
      <c r="AA137" s="117"/>
    </row>
    <row r="138" spans="1:27" s="10" customFormat="1" ht="21" customHeight="1" x14ac:dyDescent="0.25">
      <c r="A138" s="397"/>
      <c r="B138" s="382"/>
      <c r="C138" s="124" t="str">
        <f>+'RVK SVÆDI'!C116</f>
        <v>Sléttuvegur-eldri borgarar ofl</v>
      </c>
      <c r="D138" s="116">
        <f>+'RVK SVÆDI'!D116</f>
        <v>1</v>
      </c>
      <c r="E138" s="117" t="str">
        <f>+'RVK SVÆDI'!E116</f>
        <v>Háaleiti-Bústaðir</v>
      </c>
      <c r="F138" s="117" t="str">
        <f>+'RVK SVÆDI'!F116</f>
        <v>Fossvogsskóli</v>
      </c>
      <c r="G138" s="118"/>
      <c r="H138" s="118"/>
      <c r="I138" s="118"/>
      <c r="J138" s="119"/>
      <c r="K138" s="117"/>
      <c r="L138" s="120"/>
      <c r="M138" s="117"/>
      <c r="N138" s="120"/>
      <c r="O138" s="120"/>
      <c r="P138" s="117"/>
      <c r="Q138" s="121"/>
      <c r="R138" s="121"/>
      <c r="S138" s="121"/>
      <c r="T138" s="121"/>
      <c r="U138" s="121"/>
      <c r="V138" s="122"/>
      <c r="W138" s="122"/>
      <c r="X138" s="122"/>
      <c r="Y138" s="122"/>
      <c r="Z138" s="122"/>
      <c r="AA138" s="117"/>
    </row>
    <row r="139" spans="1:27" s="10" customFormat="1" ht="21" customHeight="1" x14ac:dyDescent="0.25">
      <c r="A139" s="397"/>
      <c r="B139" s="382"/>
      <c r="C139" s="124" t="str">
        <f>+'RVK SVÆDI'!C117</f>
        <v>Sléttuvegur 25-27 -hjúkrunarheimili</v>
      </c>
      <c r="D139" s="116">
        <f>+'RVK SVÆDI'!D117</f>
        <v>1</v>
      </c>
      <c r="E139" s="117" t="str">
        <f>+'RVK SVÆDI'!E117</f>
        <v>Háaleiti-Bústaðir</v>
      </c>
      <c r="F139" s="117" t="str">
        <f>+'RVK SVÆDI'!F117</f>
        <v>Fossvogsskóli</v>
      </c>
      <c r="G139" s="118"/>
      <c r="H139" s="118"/>
      <c r="I139" s="118"/>
      <c r="J139" s="119"/>
      <c r="K139" s="117"/>
      <c r="L139" s="120"/>
      <c r="M139" s="117"/>
      <c r="N139" s="120"/>
      <c r="O139" s="120"/>
      <c r="P139" s="117"/>
      <c r="Q139" s="121"/>
      <c r="R139" s="121"/>
      <c r="S139" s="121"/>
      <c r="T139" s="121"/>
      <c r="U139" s="121"/>
      <c r="V139" s="122"/>
      <c r="W139" s="122"/>
      <c r="X139" s="122"/>
      <c r="Y139" s="122"/>
      <c r="Z139" s="122"/>
      <c r="AA139" s="117"/>
    </row>
    <row r="140" spans="1:27" s="10" customFormat="1" ht="21" customHeight="1" x14ac:dyDescent="0.25">
      <c r="A140" s="397"/>
      <c r="B140" s="382"/>
      <c r="C140" s="124" t="str">
        <f>+'RVK SVÆDI'!C118</f>
        <v>Sléttuvegur-Skógavegur 4 og 10</v>
      </c>
      <c r="D140" s="116">
        <f>+'RVK SVÆDI'!D118</f>
        <v>2</v>
      </c>
      <c r="E140" s="117" t="str">
        <f>+'RVK SVÆDI'!E118</f>
        <v>Háaleiti-Bústaðir</v>
      </c>
      <c r="F140" s="117" t="str">
        <f>+'RVK SVÆDI'!F118</f>
        <v>Fossvogsskóli</v>
      </c>
      <c r="G140" s="118"/>
      <c r="H140" s="118"/>
      <c r="I140" s="118"/>
      <c r="J140" s="119"/>
      <c r="K140" s="117"/>
      <c r="L140" s="120"/>
      <c r="M140" s="117"/>
      <c r="N140" s="120"/>
      <c r="O140" s="120"/>
      <c r="P140" s="117"/>
      <c r="Q140" s="121"/>
      <c r="R140" s="121"/>
      <c r="S140" s="121"/>
      <c r="T140" s="121"/>
      <c r="U140" s="121"/>
      <c r="V140" s="122"/>
      <c r="W140" s="122"/>
      <c r="X140" s="122"/>
      <c r="Y140" s="122"/>
      <c r="Z140" s="122"/>
      <c r="AA140" s="117"/>
    </row>
    <row r="141" spans="1:27" s="10" customFormat="1" ht="21" customHeight="1" x14ac:dyDescent="0.25">
      <c r="A141" s="397"/>
      <c r="B141" s="382"/>
      <c r="C141" s="124" t="str">
        <f>+'RVK SVÆDI'!C119</f>
        <v>Sléttuvegur-Skógavegur 6-8</v>
      </c>
      <c r="D141" s="116">
        <f>+'RVK SVÆDI'!D119</f>
        <v>1</v>
      </c>
      <c r="E141" s="117" t="str">
        <f>+'RVK SVÆDI'!E119</f>
        <v>Háaleiti-Bústaðir</v>
      </c>
      <c r="F141" s="117" t="str">
        <f>+'RVK SVÆDI'!F119</f>
        <v>Fossvogsskóli</v>
      </c>
      <c r="G141" s="118"/>
      <c r="H141" s="118"/>
      <c r="I141" s="118"/>
      <c r="J141" s="119"/>
      <c r="K141" s="117"/>
      <c r="L141" s="120"/>
      <c r="M141" s="117"/>
      <c r="N141" s="120"/>
      <c r="O141" s="120"/>
      <c r="P141" s="117"/>
      <c r="Q141" s="121"/>
      <c r="R141" s="121"/>
      <c r="S141" s="121"/>
      <c r="T141" s="121"/>
      <c r="U141" s="121"/>
      <c r="V141" s="122"/>
      <c r="W141" s="122"/>
      <c r="X141" s="122"/>
      <c r="Y141" s="122"/>
      <c r="Z141" s="122"/>
      <c r="AA141" s="117"/>
    </row>
    <row r="142" spans="1:27" s="10" customFormat="1" ht="21" customHeight="1" x14ac:dyDescent="0.25">
      <c r="A142" s="397"/>
      <c r="B142" s="382"/>
      <c r="C142" s="124" t="str">
        <f>+'RVK SVÆDI'!C120</f>
        <v>Sléttuvegur-Árland 10</v>
      </c>
      <c r="D142" s="116">
        <f>+'RVK SVÆDI'!D120</f>
        <v>1</v>
      </c>
      <c r="E142" s="117" t="str">
        <f>+'RVK SVÆDI'!E120</f>
        <v>Háaleiti-Bústaðir</v>
      </c>
      <c r="F142" s="117" t="str">
        <f>+'RVK SVÆDI'!F120</f>
        <v>Fossvogsskóli</v>
      </c>
      <c r="G142" s="118"/>
      <c r="H142" s="118"/>
      <c r="I142" s="118"/>
      <c r="J142" s="119"/>
      <c r="K142" s="117"/>
      <c r="L142" s="120"/>
      <c r="M142" s="117"/>
      <c r="N142" s="120"/>
      <c r="O142" s="120"/>
      <c r="P142" s="117"/>
      <c r="Q142" s="121"/>
      <c r="R142" s="121"/>
      <c r="S142" s="121"/>
      <c r="T142" s="121"/>
      <c r="U142" s="121"/>
      <c r="V142" s="122"/>
      <c r="W142" s="122"/>
      <c r="X142" s="122"/>
      <c r="Y142" s="122"/>
      <c r="Z142" s="122"/>
      <c r="AA142" s="117"/>
    </row>
    <row r="143" spans="1:27" s="10" customFormat="1" ht="21" customHeight="1" x14ac:dyDescent="0.25">
      <c r="A143" s="397"/>
      <c r="B143" s="382"/>
      <c r="C143" s="124" t="str">
        <f>+'RVK SVÆDI'!C121</f>
        <v>Skógarvegur 16</v>
      </c>
      <c r="D143" s="116">
        <f>+'RVK SVÆDI'!D121</f>
        <v>1</v>
      </c>
      <c r="E143" s="117" t="str">
        <f>+'RVK SVÆDI'!E121</f>
        <v>Háaleiti-Bústaðir</v>
      </c>
      <c r="F143" s="117" t="str">
        <f>+'RVK SVÆDI'!F121</f>
        <v>Fossvogsskóli</v>
      </c>
      <c r="G143" s="118"/>
      <c r="H143" s="118"/>
      <c r="I143" s="118"/>
      <c r="J143" s="119"/>
      <c r="K143" s="117"/>
      <c r="L143" s="120"/>
      <c r="M143" s="117"/>
      <c r="N143" s="120"/>
      <c r="O143" s="120"/>
      <c r="P143" s="117"/>
      <c r="Q143" s="121"/>
      <c r="R143" s="121"/>
      <c r="S143" s="121"/>
      <c r="T143" s="121"/>
      <c r="U143" s="121"/>
      <c r="V143" s="122"/>
      <c r="W143" s="122"/>
      <c r="X143" s="122"/>
      <c r="Y143" s="122"/>
      <c r="Z143" s="122"/>
      <c r="AA143" s="117"/>
    </row>
    <row r="144" spans="1:27" s="10" customFormat="1" ht="21" customHeight="1" x14ac:dyDescent="0.25">
      <c r="A144" s="397"/>
      <c r="B144" s="382"/>
      <c r="C144" s="124" t="str">
        <f>+'RVK SVÆDI'!C122</f>
        <v>RÚV-lóð áfangi 2</v>
      </c>
      <c r="D144" s="116">
        <f>+'RVK SVÆDI'!D122</f>
        <v>1</v>
      </c>
      <c r="E144" s="117" t="str">
        <f>+'RVK SVÆDI'!E122</f>
        <v>Háaleiti-Bústaðir</v>
      </c>
      <c r="F144" s="117" t="str">
        <f>+'RVK SVÆDI'!F122</f>
        <v>Hvassaleitisskóli</v>
      </c>
      <c r="G144" s="118">
        <v>800</v>
      </c>
      <c r="H144" s="118">
        <v>800</v>
      </c>
      <c r="I144" s="118">
        <v>0</v>
      </c>
      <c r="J144" s="119">
        <f t="shared" si="90"/>
        <v>0</v>
      </c>
      <c r="K144" s="117"/>
      <c r="L144" s="120"/>
      <c r="M144" s="117"/>
      <c r="N144" s="120"/>
      <c r="O144" s="120"/>
      <c r="P144" s="117"/>
      <c r="Q144" s="121"/>
      <c r="R144" s="121"/>
      <c r="S144" s="121"/>
      <c r="T144" s="121"/>
      <c r="U144" s="121"/>
      <c r="V144" s="122"/>
      <c r="W144" s="122"/>
      <c r="X144" s="122"/>
      <c r="Y144" s="122"/>
      <c r="Z144" s="122"/>
      <c r="AA144" s="117"/>
    </row>
    <row r="145" spans="1:27" s="10" customFormat="1" ht="21" customHeight="1" x14ac:dyDescent="0.25">
      <c r="A145" s="397"/>
      <c r="B145" s="382"/>
      <c r="C145" s="124" t="str">
        <f>+'RVK SVÆDI'!C123</f>
        <v>Háaleitisbraut 12 (B)</v>
      </c>
      <c r="D145" s="116">
        <f>+'RVK SVÆDI'!D123</f>
        <v>3</v>
      </c>
      <c r="E145" s="117" t="str">
        <f>+'RVK SVÆDI'!E123</f>
        <v>Háaleiti-Bústaðir</v>
      </c>
      <c r="F145" s="117" t="str">
        <f>+'RVK SVÆDI'!F123</f>
        <v>Álftamýrarskóli</v>
      </c>
      <c r="G145" s="118"/>
      <c r="H145" s="118"/>
      <c r="I145" s="118"/>
      <c r="J145" s="119"/>
      <c r="K145" s="117"/>
      <c r="L145" s="120"/>
      <c r="M145" s="117"/>
      <c r="N145" s="120"/>
      <c r="O145" s="120"/>
      <c r="P145" s="117"/>
      <c r="Q145" s="121"/>
      <c r="R145" s="121"/>
      <c r="S145" s="121"/>
      <c r="T145" s="121"/>
      <c r="U145" s="121"/>
      <c r="V145" s="122"/>
      <c r="W145" s="122"/>
      <c r="X145" s="122"/>
      <c r="Y145" s="122"/>
      <c r="Z145" s="122"/>
      <c r="AA145" s="117"/>
    </row>
    <row r="146" spans="1:27" s="10" customFormat="1" ht="21" customHeight="1" x14ac:dyDescent="0.25">
      <c r="A146" s="397"/>
      <c r="B146" s="382"/>
      <c r="C146" s="124" t="str">
        <f>+'RVK SVÆDI'!C124</f>
        <v>Borgarspítalareitur</v>
      </c>
      <c r="D146" s="116">
        <f>+'RVK SVÆDI'!D124</f>
        <v>4</v>
      </c>
      <c r="E146" s="117" t="str">
        <f>+'RVK SVÆDI'!E124</f>
        <v>Háaleiti-Bústaðir</v>
      </c>
      <c r="F146" s="117" t="str">
        <f>+'RVK SVÆDI'!F124</f>
        <v>Fossvogsskóli</v>
      </c>
      <c r="G146" s="118"/>
      <c r="H146" s="118"/>
      <c r="I146" s="118"/>
      <c r="J146" s="119"/>
      <c r="K146" s="117"/>
      <c r="L146" s="120"/>
      <c r="M146" s="117"/>
      <c r="N146" s="120"/>
      <c r="O146" s="120"/>
      <c r="P146" s="117"/>
      <c r="Q146" s="121"/>
      <c r="R146" s="121"/>
      <c r="S146" s="121"/>
      <c r="T146" s="121"/>
      <c r="U146" s="121"/>
      <c r="V146" s="122"/>
      <c r="W146" s="122"/>
      <c r="X146" s="122"/>
      <c r="Y146" s="122"/>
      <c r="Z146" s="122"/>
      <c r="AA146" s="117"/>
    </row>
    <row r="147" spans="1:27" s="10" customFormat="1" ht="21" customHeight="1" x14ac:dyDescent="0.25">
      <c r="A147" s="397"/>
      <c r="B147" s="382"/>
      <c r="C147" s="124" t="str">
        <f>+'RVK SVÆDI'!C125</f>
        <v xml:space="preserve">Vigdísarlundur/Fossvogsvegur 8 </v>
      </c>
      <c r="D147" s="116">
        <f>+'RVK SVÆDI'!D125</f>
        <v>1</v>
      </c>
      <c r="E147" s="117" t="str">
        <f>+'RVK SVÆDI'!E125</f>
        <v>Háaleiti-Bústaðir</v>
      </c>
      <c r="F147" s="117" t="str">
        <f>+'RVK SVÆDI'!F125</f>
        <v>Fossvogsskóli</v>
      </c>
      <c r="G147" s="118"/>
      <c r="H147" s="118"/>
      <c r="I147" s="118"/>
      <c r="J147" s="119"/>
      <c r="K147" s="117"/>
      <c r="L147" s="120"/>
      <c r="M147" s="117"/>
      <c r="N147" s="120"/>
      <c r="O147" s="120"/>
      <c r="P147" s="117"/>
      <c r="Q147" s="121"/>
      <c r="R147" s="121"/>
      <c r="S147" s="121"/>
      <c r="T147" s="121"/>
      <c r="U147" s="121"/>
      <c r="V147" s="122"/>
      <c r="W147" s="122"/>
      <c r="X147" s="122"/>
      <c r="Y147" s="122"/>
      <c r="Z147" s="122"/>
      <c r="AA147" s="117"/>
    </row>
    <row r="148" spans="1:27" s="10" customFormat="1" ht="21" customHeight="1" x14ac:dyDescent="0.25">
      <c r="A148" s="397"/>
      <c r="B148" s="382"/>
      <c r="C148" s="124" t="str">
        <f>+'RVK SVÆDI'!C126</f>
        <v>Stóragerði 40 (B)</v>
      </c>
      <c r="D148" s="116">
        <f>+'RVK SVÆDI'!D126</f>
        <v>5</v>
      </c>
      <c r="E148" s="117" t="str">
        <f>+'RVK SVÆDI'!E126</f>
        <v>Háaleiti-Bústaðir</v>
      </c>
      <c r="F148" s="117" t="str">
        <f>+'RVK SVÆDI'!F126</f>
        <v>Hvassaleitisskóli</v>
      </c>
      <c r="G148" s="118"/>
      <c r="H148" s="118"/>
      <c r="I148" s="118"/>
      <c r="J148" s="119"/>
      <c r="K148" s="117"/>
      <c r="L148" s="120"/>
      <c r="M148" s="117"/>
      <c r="N148" s="120"/>
      <c r="O148" s="120"/>
      <c r="P148" s="117"/>
      <c r="Q148" s="121"/>
      <c r="R148" s="121"/>
      <c r="S148" s="121"/>
      <c r="T148" s="121"/>
      <c r="U148" s="121"/>
      <c r="V148" s="122"/>
      <c r="W148" s="122"/>
      <c r="X148" s="122"/>
      <c r="Y148" s="122"/>
      <c r="Z148" s="122"/>
      <c r="AA148" s="117"/>
    </row>
    <row r="149" spans="1:27" s="10" customFormat="1" ht="21" customHeight="1" x14ac:dyDescent="0.25">
      <c r="A149" s="397"/>
      <c r="B149" s="382"/>
      <c r="C149" s="124" t="str">
        <f>+'RVK SVÆDI'!C127</f>
        <v>Sogavegur 73-77</v>
      </c>
      <c r="D149" s="116">
        <f>+'RVK SVÆDI'!D127</f>
        <v>1</v>
      </c>
      <c r="E149" s="117" t="str">
        <f>+'RVK SVÆDI'!E127</f>
        <v>Háaleiti-Bústaðir</v>
      </c>
      <c r="F149" s="117" t="str">
        <f>+'RVK SVÆDI'!F127</f>
        <v>Breiðagerðisskóli</v>
      </c>
      <c r="G149" s="118"/>
      <c r="H149" s="118"/>
      <c r="I149" s="118"/>
      <c r="J149" s="119"/>
      <c r="K149" s="117"/>
      <c r="L149" s="120"/>
      <c r="M149" s="117"/>
      <c r="N149" s="120"/>
      <c r="O149" s="120"/>
      <c r="P149" s="117"/>
      <c r="Q149" s="121"/>
      <c r="R149" s="121"/>
      <c r="S149" s="121"/>
      <c r="T149" s="121"/>
      <c r="U149" s="121"/>
      <c r="V149" s="122"/>
      <c r="W149" s="122"/>
      <c r="X149" s="122"/>
      <c r="Y149" s="122"/>
      <c r="Z149" s="122"/>
      <c r="AA149" s="117"/>
    </row>
    <row r="150" spans="1:27" s="10" customFormat="1" ht="21" customHeight="1" x14ac:dyDescent="0.25">
      <c r="A150" s="397"/>
      <c r="B150" s="382"/>
      <c r="C150" s="124" t="str">
        <f>+'RVK SVÆDI'!C128</f>
        <v>Fram-svæði - Miklabraut 101</v>
      </c>
      <c r="D150" s="116">
        <f>+'RVK SVÆDI'!D128</f>
        <v>5</v>
      </c>
      <c r="E150" s="117" t="str">
        <f>+'RVK SVÆDI'!E128</f>
        <v>Háaleiti-Bústaðir</v>
      </c>
      <c r="F150" s="117" t="str">
        <f>+'RVK SVÆDI'!F128</f>
        <v>Álftamýrarskóli</v>
      </c>
      <c r="G150" s="118"/>
      <c r="H150" s="118"/>
      <c r="I150" s="118"/>
      <c r="J150" s="119"/>
      <c r="K150" s="117"/>
      <c r="L150" s="120"/>
      <c r="M150" s="117"/>
      <c r="N150" s="120"/>
      <c r="O150" s="120"/>
      <c r="P150" s="117"/>
      <c r="Q150" s="121"/>
      <c r="R150" s="121"/>
      <c r="S150" s="121"/>
      <c r="T150" s="121"/>
      <c r="U150" s="121"/>
      <c r="V150" s="122"/>
      <c r="W150" s="122"/>
      <c r="X150" s="122"/>
      <c r="Y150" s="122"/>
      <c r="Z150" s="122"/>
      <c r="AA150" s="117"/>
    </row>
    <row r="151" spans="1:27" ht="21" customHeight="1" x14ac:dyDescent="0.25">
      <c r="A151" s="397"/>
      <c r="B151" s="382"/>
      <c r="C151" s="7" t="str">
        <f>+'RVK SVÆDI'!C129</f>
        <v>Lágmúli (C40)</v>
      </c>
      <c r="D151" s="8">
        <f>+'RVK SVÆDI'!D129</f>
        <v>3</v>
      </c>
      <c r="E151" s="6" t="str">
        <f>+'RVK SVÆDI'!E129</f>
        <v>Háaleiti-Bústaðir</v>
      </c>
      <c r="F151" s="6" t="str">
        <f>+'RVK SVÆDI'!F129</f>
        <v>Álftamýrarskóli</v>
      </c>
      <c r="G151" s="108">
        <f>100*23</f>
        <v>2300</v>
      </c>
      <c r="H151" s="108">
        <v>0</v>
      </c>
      <c r="I151" s="108">
        <v>0</v>
      </c>
      <c r="J151" s="109">
        <f t="shared" si="90"/>
        <v>0</v>
      </c>
      <c r="L151" s="112">
        <v>1.5</v>
      </c>
      <c r="M151" s="6">
        <f t="shared" si="84"/>
        <v>18</v>
      </c>
      <c r="N151" s="112">
        <v>24</v>
      </c>
      <c r="O151" s="112">
        <v>14</v>
      </c>
      <c r="P151" s="6">
        <f t="shared" ref="P151:P210" si="98">+N151+O151+18</f>
        <v>56</v>
      </c>
      <c r="Q151" s="113">
        <f t="shared" ref="Q151:U152" si="99">IFERROR(IF(AND((Q$236-$P151)/$M151&gt;0,(Q$236-$P151)/$M151&lt;1),(Q$236-$P151)/$M151,IF((Q$236-$P151)/$M151&gt;0,1,0)),0)</f>
        <v>0</v>
      </c>
      <c r="R151" s="113">
        <f t="shared" si="99"/>
        <v>0</v>
      </c>
      <c r="S151" s="113">
        <f t="shared" si="99"/>
        <v>0</v>
      </c>
      <c r="T151" s="113">
        <f t="shared" si="99"/>
        <v>0</v>
      </c>
      <c r="U151" s="113">
        <f t="shared" si="99"/>
        <v>0</v>
      </c>
      <c r="V151" s="114">
        <f>Q151*($G151-$H151)</f>
        <v>0</v>
      </c>
      <c r="W151" s="114">
        <f>R151*($G151-$H151)-V151</f>
        <v>0</v>
      </c>
      <c r="X151" s="114">
        <f>S151*($G151-$H151)-SUM(V151:W151)</f>
        <v>0</v>
      </c>
      <c r="Y151" s="114">
        <f>T151*($G151-$H151)-SUM(V151:X151)</f>
        <v>0</v>
      </c>
      <c r="Z151" s="114">
        <f>U151*($G151-$H151)-SUM(V151:Y151)</f>
        <v>0</v>
      </c>
    </row>
    <row r="152" spans="1:27" ht="21" customHeight="1" x14ac:dyDescent="0.25">
      <c r="A152" s="397"/>
      <c r="B152" s="382"/>
      <c r="C152" s="7" t="str">
        <f>+'RVK SVÆDI'!C130</f>
        <v>Ármúli-Suðurlandsbraut</v>
      </c>
      <c r="D152" s="8">
        <f>+'RVK SVÆDI'!D130</f>
        <v>4</v>
      </c>
      <c r="E152" s="6" t="str">
        <f>+'RVK SVÆDI'!E130</f>
        <v>Háaleiti-Bústaðir</v>
      </c>
      <c r="F152" s="6" t="str">
        <f>+'RVK SVÆDI'!F130</f>
        <v>Álftamýrarskóli</v>
      </c>
      <c r="G152" s="108">
        <v>0</v>
      </c>
      <c r="H152" s="108">
        <v>0</v>
      </c>
      <c r="I152" s="108">
        <v>0</v>
      </c>
      <c r="J152" s="109">
        <f t="shared" si="90"/>
        <v>0</v>
      </c>
      <c r="L152" s="112">
        <v>4</v>
      </c>
      <c r="M152" s="6">
        <f t="shared" si="84"/>
        <v>48</v>
      </c>
      <c r="N152" s="112">
        <v>48</v>
      </c>
      <c r="O152" s="112">
        <v>14</v>
      </c>
      <c r="P152" s="6">
        <f t="shared" si="98"/>
        <v>80</v>
      </c>
      <c r="Q152" s="113">
        <f t="shared" si="99"/>
        <v>0</v>
      </c>
      <c r="R152" s="113">
        <f t="shared" si="99"/>
        <v>0</v>
      </c>
      <c r="S152" s="113">
        <f t="shared" si="99"/>
        <v>0</v>
      </c>
      <c r="T152" s="113">
        <f t="shared" si="99"/>
        <v>0</v>
      </c>
      <c r="U152" s="113">
        <f t="shared" si="99"/>
        <v>0</v>
      </c>
      <c r="V152" s="114">
        <f>Q152*($G152-$H152)</f>
        <v>0</v>
      </c>
      <c r="W152" s="114">
        <f>R152*($G152-$H152)-V152</f>
        <v>0</v>
      </c>
      <c r="X152" s="114">
        <f>S152*($G152-$H152)-SUM(V152:W152)</f>
        <v>0</v>
      </c>
      <c r="Y152" s="114">
        <f>T152*($G152-$H152)-SUM(V152:X152)</f>
        <v>0</v>
      </c>
      <c r="Z152" s="114">
        <f>U152*($G152-$H152)-SUM(V152:Y152)</f>
        <v>0</v>
      </c>
    </row>
    <row r="153" spans="1:27" s="10" customFormat="1" ht="21" customHeight="1" x14ac:dyDescent="0.25">
      <c r="A153" s="397"/>
      <c r="B153" s="382"/>
      <c r="C153" s="124" t="str">
        <f>+'RVK SVÆDI'!C131</f>
        <v>Síðumúli-þróunarsvæði</v>
      </c>
      <c r="D153" s="116">
        <f>+'RVK SVÆDI'!D131</f>
        <v>4</v>
      </c>
      <c r="E153" s="117" t="str">
        <f>+'RVK SVÆDI'!E131</f>
        <v>Háaleiti-Bústaðir</v>
      </c>
      <c r="F153" s="117" t="str">
        <f>+'RVK SVÆDI'!F131</f>
        <v>Álftamýrarskóli</v>
      </c>
      <c r="G153" s="118"/>
      <c r="H153" s="118"/>
      <c r="I153" s="118"/>
      <c r="J153" s="119"/>
      <c r="K153" s="117"/>
      <c r="L153" s="120"/>
      <c r="M153" s="117"/>
      <c r="N153" s="120"/>
      <c r="O153" s="120"/>
      <c r="P153" s="117"/>
      <c r="Q153" s="121"/>
      <c r="R153" s="121"/>
      <c r="S153" s="121"/>
      <c r="T153" s="121"/>
      <c r="U153" s="121"/>
      <c r="V153" s="122"/>
      <c r="W153" s="122"/>
      <c r="X153" s="122"/>
      <c r="Y153" s="122"/>
      <c r="Z153" s="122"/>
      <c r="AA153" s="117"/>
    </row>
    <row r="154" spans="1:27" ht="21" customHeight="1" x14ac:dyDescent="0.25">
      <c r="A154" s="397"/>
      <c r="B154" s="382"/>
      <c r="C154" s="7" t="str">
        <f>+'RVK SVÆDI'!C132</f>
        <v>Orkureitur</v>
      </c>
      <c r="D154" s="8">
        <f>+'RVK SVÆDI'!D132</f>
        <v>2</v>
      </c>
      <c r="E154" s="6" t="str">
        <f>+'RVK SVÆDI'!E132</f>
        <v>Háaleiti-Bústaðir</v>
      </c>
      <c r="F154" s="6" t="str">
        <f>+'RVK SVÆDI'!F132</f>
        <v>Álftamýrarskóli</v>
      </c>
      <c r="G154" s="108">
        <v>-4600</v>
      </c>
      <c r="H154" s="108">
        <v>0</v>
      </c>
      <c r="I154" s="108">
        <v>0</v>
      </c>
      <c r="J154" s="109">
        <f t="shared" si="90"/>
        <v>-4600</v>
      </c>
      <c r="L154" s="110" t="s">
        <v>305</v>
      </c>
      <c r="M154" s="111"/>
      <c r="N154" s="111"/>
      <c r="O154" s="111"/>
      <c r="P154" s="111"/>
      <c r="Q154" s="111"/>
      <c r="R154" s="111"/>
      <c r="S154" s="111"/>
      <c r="T154" s="111"/>
      <c r="U154" s="111"/>
      <c r="V154" s="108">
        <v>0</v>
      </c>
      <c r="W154" s="108">
        <v>0</v>
      </c>
      <c r="X154" s="108">
        <v>0</v>
      </c>
      <c r="Y154" s="108">
        <v>-4600</v>
      </c>
      <c r="Z154" s="108">
        <v>800</v>
      </c>
    </row>
    <row r="155" spans="1:27" s="10" customFormat="1" ht="21" customHeight="1" x14ac:dyDescent="0.25">
      <c r="A155" s="397"/>
      <c r="B155" s="382"/>
      <c r="C155" s="124" t="str">
        <f>+'RVK SVÆDI'!C133</f>
        <v>Háaleitisbraut-Miklabraut</v>
      </c>
      <c r="D155" s="116">
        <f>+'RVK SVÆDI'!D133</f>
        <v>5</v>
      </c>
      <c r="E155" s="117" t="str">
        <f>+'RVK SVÆDI'!E133</f>
        <v>Háaleiti-Bústaðir</v>
      </c>
      <c r="F155" s="117" t="str">
        <f>+'RVK SVÆDI'!F133</f>
        <v>Álftamýrarskóli</v>
      </c>
      <c r="G155" s="118"/>
      <c r="H155" s="118"/>
      <c r="I155" s="118"/>
      <c r="J155" s="119"/>
      <c r="K155" s="117"/>
      <c r="L155" s="120"/>
      <c r="M155" s="117"/>
      <c r="N155" s="120"/>
      <c r="O155" s="120"/>
      <c r="P155" s="117"/>
      <c r="Q155" s="121"/>
      <c r="R155" s="121"/>
      <c r="S155" s="121"/>
      <c r="T155" s="121"/>
      <c r="U155" s="121"/>
      <c r="V155" s="122"/>
      <c r="W155" s="122"/>
      <c r="X155" s="122"/>
      <c r="Y155" s="122"/>
      <c r="Z155" s="122"/>
      <c r="AA155" s="117"/>
    </row>
    <row r="156" spans="1:27" s="10" customFormat="1" ht="21" customHeight="1" x14ac:dyDescent="0.25">
      <c r="A156" s="397"/>
      <c r="B156" s="382"/>
      <c r="C156" s="124" t="str">
        <f>+'RVK SVÆDI'!C134</f>
        <v>Furugerði</v>
      </c>
      <c r="D156" s="116">
        <f>+'RVK SVÆDI'!D134</f>
        <v>1</v>
      </c>
      <c r="E156" s="117" t="str">
        <f>+'RVK SVÆDI'!E134</f>
        <v>Háaleiti-Bústaðir</v>
      </c>
      <c r="F156" s="117" t="str">
        <f>+'RVK SVÆDI'!F134</f>
        <v>Álftamýrarskóli</v>
      </c>
      <c r="G156" s="118"/>
      <c r="H156" s="118"/>
      <c r="I156" s="118"/>
      <c r="J156" s="119"/>
      <c r="K156" s="117"/>
      <c r="L156" s="120"/>
      <c r="M156" s="117"/>
      <c r="N156" s="120"/>
      <c r="O156" s="120"/>
      <c r="P156" s="117"/>
      <c r="Q156" s="121"/>
      <c r="R156" s="121"/>
      <c r="S156" s="121"/>
      <c r="T156" s="121"/>
      <c r="U156" s="121"/>
      <c r="V156" s="122"/>
      <c r="W156" s="122"/>
      <c r="X156" s="122"/>
      <c r="Y156" s="122"/>
      <c r="Z156" s="122"/>
      <c r="AA156" s="117"/>
    </row>
    <row r="157" spans="1:27" ht="21" customHeight="1" x14ac:dyDescent="0.25">
      <c r="A157" s="397"/>
      <c r="B157" s="382"/>
      <c r="C157" s="7" t="str">
        <f>+'RVK SVÆDI'!C135</f>
        <v>Bústaðavegur 151-153</v>
      </c>
      <c r="D157" s="8">
        <f>+'RVK SVÆDI'!D135</f>
        <v>2</v>
      </c>
      <c r="E157" s="6" t="str">
        <f>+'RVK SVÆDI'!E135</f>
        <v>Háaleiti-Bústaðir</v>
      </c>
      <c r="F157" s="6" t="str">
        <f>+'RVK SVÆDI'!F135</f>
        <v>Álftamýrarskóli</v>
      </c>
      <c r="G157" s="108">
        <v>19050</v>
      </c>
      <c r="H157" s="108">
        <v>0</v>
      </c>
      <c r="I157" s="108">
        <v>0</v>
      </c>
      <c r="J157" s="109">
        <f t="shared" si="90"/>
        <v>19050</v>
      </c>
      <c r="L157" s="112">
        <v>8</v>
      </c>
      <c r="M157" s="6">
        <f t="shared" si="84"/>
        <v>96</v>
      </c>
      <c r="N157" s="112">
        <v>48</v>
      </c>
      <c r="O157" s="112">
        <v>12</v>
      </c>
      <c r="P157" s="6">
        <f t="shared" si="98"/>
        <v>78</v>
      </c>
      <c r="Q157" s="113">
        <f>IFERROR(IF(AND((Q$236-$P157)/$M157&gt;0,(Q$236-$P157)/$M157&lt;1),(Q$236-$P157)/$M157,IF((Q$236-$P157)/$M157&gt;0,1,0)),0)</f>
        <v>0</v>
      </c>
      <c r="R157" s="113">
        <f>IFERROR(IF(AND((R$236-$P157)/$M157&gt;0,(R$236-$P157)/$M157&lt;1),(R$236-$P157)/$M157,IF((R$236-$P157)/$M157&gt;0,1,0)),0)</f>
        <v>0</v>
      </c>
      <c r="S157" s="113">
        <f>IFERROR(IF(AND((S$236-$P157)/$M157&gt;0,(S$236-$P157)/$M157&lt;1),(S$236-$P157)/$M157,IF((S$236-$P157)/$M157&gt;0,1,0)),0)</f>
        <v>0</v>
      </c>
      <c r="T157" s="113">
        <f>IFERROR(IF(AND((T$236-$P157)/$M157&gt;0,(T$236-$P157)/$M157&lt;1),(T$236-$P157)/$M157,IF((T$236-$P157)/$M157&gt;0,1,0)),0)</f>
        <v>0</v>
      </c>
      <c r="U157" s="113">
        <f>IFERROR(IF(AND((U$236-$P157)/$M157&gt;0,(U$236-$P157)/$M157&lt;1),(U$236-$P157)/$M157,IF((U$236-$P157)/$M157&gt;0,1,0)),0)</f>
        <v>0</v>
      </c>
      <c r="V157" s="114">
        <f>Q157*($G157-$H157)</f>
        <v>0</v>
      </c>
      <c r="W157" s="114">
        <f>R157*($G157-$H157)-V157</f>
        <v>0</v>
      </c>
      <c r="X157" s="114">
        <f>S157*($G157-$H157)-SUM(V157:W157)</f>
        <v>0</v>
      </c>
      <c r="Y157" s="114">
        <f>T157*($G157-$H157)-SUM(V157:X157)</f>
        <v>0</v>
      </c>
      <c r="Z157" s="114">
        <f>U157*($G157-$H157)-SUM(V157:Y157)</f>
        <v>0</v>
      </c>
    </row>
    <row r="158" spans="1:27" ht="21" customHeight="1" x14ac:dyDescent="0.25">
      <c r="A158" s="397"/>
      <c r="B158" s="382"/>
      <c r="C158" s="7" t="str">
        <f>+'RVK SVÆDI'!C136</f>
        <v>Ártúnshöfði- Krossamýrartorg - svæði 1</v>
      </c>
      <c r="D158" s="8">
        <f>+'RVK SVÆDI'!D136</f>
        <v>2</v>
      </c>
      <c r="E158" s="6" t="str">
        <f>+'RVK SVÆDI'!E136</f>
        <v>Ártúnshöfði</v>
      </c>
      <c r="F158" s="6" t="str">
        <f>+'RVK SVÆDI'!F136</f>
        <v>Ártúnshöfði</v>
      </c>
      <c r="G158" s="108">
        <v>50000</v>
      </c>
      <c r="H158" s="108">
        <v>0</v>
      </c>
      <c r="I158" s="108">
        <v>0</v>
      </c>
      <c r="J158" s="109">
        <f t="shared" si="90"/>
        <v>50000</v>
      </c>
      <c r="L158" s="110" t="s">
        <v>305</v>
      </c>
      <c r="M158" s="111"/>
      <c r="N158" s="111"/>
      <c r="O158" s="111"/>
      <c r="P158" s="111"/>
      <c r="Q158" s="111"/>
      <c r="R158" s="111"/>
      <c r="S158" s="111"/>
      <c r="T158" s="111"/>
      <c r="U158" s="111"/>
      <c r="V158" s="108">
        <v>0</v>
      </c>
      <c r="W158" s="108">
        <v>-3600</v>
      </c>
      <c r="X158" s="108">
        <v>0</v>
      </c>
      <c r="Y158" s="108">
        <v>-3400</v>
      </c>
      <c r="Z158" s="108">
        <v>1000</v>
      </c>
    </row>
    <row r="159" spans="1:27" ht="21" customHeight="1" x14ac:dyDescent="0.25">
      <c r="A159" s="397"/>
      <c r="B159" s="382"/>
      <c r="C159" s="7" t="str">
        <f>+'RVK SVÆDI'!C137</f>
        <v>Ártúnshöfði- Vogur - svæði 2</v>
      </c>
      <c r="D159" s="8">
        <f>+'RVK SVÆDI'!D137</f>
        <v>2</v>
      </c>
      <c r="E159" s="6" t="str">
        <f>+'RVK SVÆDI'!E137</f>
        <v>Ártúnshöfði</v>
      </c>
      <c r="F159" s="6" t="str">
        <f>+'RVK SVÆDI'!F137</f>
        <v>Ártúnshöfði</v>
      </c>
      <c r="G159" s="108">
        <v>10000</v>
      </c>
      <c r="H159" s="108">
        <v>0</v>
      </c>
      <c r="I159" s="108">
        <v>0</v>
      </c>
      <c r="J159" s="109">
        <f t="shared" si="90"/>
        <v>10000</v>
      </c>
      <c r="L159" s="110" t="s">
        <v>305</v>
      </c>
      <c r="M159" s="111"/>
      <c r="N159" s="111"/>
      <c r="O159" s="111"/>
      <c r="P159" s="111"/>
      <c r="Q159" s="111"/>
      <c r="R159" s="111"/>
      <c r="S159" s="111"/>
      <c r="T159" s="111"/>
      <c r="U159" s="111"/>
      <c r="V159" s="108">
        <v>0</v>
      </c>
      <c r="W159" s="108">
        <v>0</v>
      </c>
      <c r="X159" s="108">
        <v>0</v>
      </c>
      <c r="Y159" s="108">
        <v>0</v>
      </c>
      <c r="Z159" s="108">
        <v>4000</v>
      </c>
    </row>
    <row r="160" spans="1:27" ht="21" customHeight="1" x14ac:dyDescent="0.25">
      <c r="A160" s="397"/>
      <c r="B160" s="382"/>
      <c r="C160" s="7" t="str">
        <f>+'RVK SVÆDI'!C138</f>
        <v>Ártúnshöfði-landfylling- svæði 3</v>
      </c>
      <c r="D160" s="8">
        <f>+'RVK SVÆDI'!D138</f>
        <v>4</v>
      </c>
      <c r="E160" s="6" t="str">
        <f>+'RVK SVÆDI'!E138</f>
        <v>Ártúnshöfði</v>
      </c>
      <c r="F160" s="6" t="str">
        <f>+'RVK SVÆDI'!F138</f>
        <v>Ártúnshöfði</v>
      </c>
      <c r="G160" s="108">
        <v>0</v>
      </c>
      <c r="H160" s="108">
        <v>0</v>
      </c>
      <c r="I160" s="108">
        <v>0</v>
      </c>
      <c r="J160" s="109">
        <f t="shared" si="90"/>
        <v>0</v>
      </c>
      <c r="L160" s="112">
        <v>10</v>
      </c>
      <c r="M160" s="6">
        <f t="shared" si="84"/>
        <v>120</v>
      </c>
      <c r="N160" s="112">
        <v>48</v>
      </c>
      <c r="O160" s="112">
        <v>16</v>
      </c>
      <c r="P160" s="6">
        <f t="shared" si="98"/>
        <v>82</v>
      </c>
      <c r="Q160" s="113">
        <f>IFERROR(IF(AND((Q$236-$P160)/$M160&gt;0,(Q$236-$P160)/$M160&lt;1),(Q$236-$P160)/$M160,IF((Q$236-$P160)/$M160&gt;0,1,0)),0)</f>
        <v>0</v>
      </c>
      <c r="R160" s="113">
        <f>IFERROR(IF(AND((R$236-$P160)/$M160&gt;0,(R$236-$P160)/$M160&lt;1),(R$236-$P160)/$M160,IF((R$236-$P160)/$M160&gt;0,1,0)),0)</f>
        <v>0</v>
      </c>
      <c r="S160" s="113">
        <f>IFERROR(IF(AND((S$236-$P160)/$M160&gt;0,(S$236-$P160)/$M160&lt;1),(S$236-$P160)/$M160,IF((S$236-$P160)/$M160&gt;0,1,0)),0)</f>
        <v>0</v>
      </c>
      <c r="T160" s="113">
        <f>IFERROR(IF(AND((T$236-$P160)/$M160&gt;0,(T$236-$P160)/$M160&lt;1),(T$236-$P160)/$M160,IF((T$236-$P160)/$M160&gt;0,1,0)),0)</f>
        <v>0</v>
      </c>
      <c r="U160" s="113">
        <f>IFERROR(IF(AND((U$236-$P160)/$M160&gt;0,(U$236-$P160)/$M160&lt;1),(U$236-$P160)/$M160,IF((U$236-$P160)/$M160&gt;0,1,0)),0)</f>
        <v>0</v>
      </c>
      <c r="V160" s="114">
        <f>Q160*($G160-$H160)</f>
        <v>0</v>
      </c>
      <c r="W160" s="114">
        <f>R160*($G160-$H160)-V160</f>
        <v>0</v>
      </c>
      <c r="X160" s="114">
        <f>S160*($G160-$H160)-SUM(V160:W160)</f>
        <v>0</v>
      </c>
      <c r="Y160" s="114">
        <f>T160*($G160-$H160)-SUM(V160:X160)</f>
        <v>0</v>
      </c>
      <c r="Z160" s="114">
        <f>U160*($G160-$H160)-SUM(V160:Y160)</f>
        <v>0</v>
      </c>
    </row>
    <row r="161" spans="1:27" s="10" customFormat="1" ht="21" customHeight="1" x14ac:dyDescent="0.25">
      <c r="A161" s="397"/>
      <c r="B161" s="382"/>
      <c r="C161" s="124" t="str">
        <f>+'RVK SVÆDI'!C139</f>
        <v>Bryggjuhverfi III (Ártúnshöfði svæði 4)</v>
      </c>
      <c r="D161" s="116">
        <f>+'RVK SVÆDI'!D139</f>
        <v>1</v>
      </c>
      <c r="E161" s="117" t="str">
        <f>+'RVK SVÆDI'!E139</f>
        <v>Ártúnshöfði</v>
      </c>
      <c r="F161" s="117" t="str">
        <f>+'RVK SVÆDI'!F139</f>
        <v>Ártúnshöfði</v>
      </c>
      <c r="G161" s="118"/>
      <c r="H161" s="118"/>
      <c r="I161" s="118"/>
      <c r="J161" s="119"/>
      <c r="K161" s="117"/>
      <c r="L161" s="120"/>
      <c r="M161" s="117"/>
      <c r="N161" s="120"/>
      <c r="O161" s="120"/>
      <c r="P161" s="117"/>
      <c r="Q161" s="121"/>
      <c r="R161" s="121"/>
      <c r="S161" s="121"/>
      <c r="T161" s="121"/>
      <c r="U161" s="121"/>
      <c r="V161" s="122"/>
      <c r="W161" s="122"/>
      <c r="X161" s="122"/>
      <c r="Y161" s="122"/>
      <c r="Z161" s="122"/>
      <c r="AA161" s="117"/>
    </row>
    <row r="162" spans="1:27" ht="21" customHeight="1" x14ac:dyDescent="0.25">
      <c r="A162" s="397"/>
      <c r="B162" s="382"/>
      <c r="C162" s="7" t="str">
        <f>+'RVK SVÆDI'!C140</f>
        <v>Ártúnshöfði-Höfði-  svæði 5</v>
      </c>
      <c r="D162" s="8">
        <f>+'RVK SVÆDI'!D140</f>
        <v>3</v>
      </c>
      <c r="E162" s="6" t="str">
        <f>+'RVK SVÆDI'!E140</f>
        <v>Ártúnshöfði</v>
      </c>
      <c r="F162" s="6" t="str">
        <f>+'RVK SVÆDI'!F140</f>
        <v>Ártúnshöfði</v>
      </c>
      <c r="G162" s="108">
        <v>0</v>
      </c>
      <c r="H162" s="108">
        <v>0</v>
      </c>
      <c r="I162" s="108">
        <v>0</v>
      </c>
      <c r="J162" s="109">
        <f t="shared" si="90"/>
        <v>0</v>
      </c>
      <c r="L162" s="112">
        <v>12</v>
      </c>
      <c r="M162" s="6">
        <f t="shared" si="84"/>
        <v>144</v>
      </c>
      <c r="N162" s="112">
        <v>24</v>
      </c>
      <c r="O162" s="112">
        <v>16</v>
      </c>
      <c r="P162" s="6">
        <f t="shared" si="98"/>
        <v>58</v>
      </c>
      <c r="Q162" s="113">
        <f>IFERROR(IF(AND((Q$236-$P162)/$M162&gt;0,(Q$236-$P162)/$M162&lt;1),(Q$236-$P162)/$M162,IF((Q$236-$P162)/$M162&gt;0,1,0)),0)</f>
        <v>0</v>
      </c>
      <c r="R162" s="113">
        <f>IFERROR(IF(AND((R$236-$P162)/$M162&gt;0,(R$236-$P162)/$M162&lt;1),(R$236-$P162)/$M162,IF((R$236-$P162)/$M162&gt;0,1,0)),0)</f>
        <v>0</v>
      </c>
      <c r="S162" s="113">
        <f>IFERROR(IF(AND((S$236-$P162)/$M162&gt;0,(S$236-$P162)/$M162&lt;1),(S$236-$P162)/$M162,IF((S$236-$P162)/$M162&gt;0,1,0)),0)</f>
        <v>0</v>
      </c>
      <c r="T162" s="113">
        <f>IFERROR(IF(AND((T$236-$P162)/$M162&gt;0,(T$236-$P162)/$M162&lt;1),(T$236-$P162)/$M162,IF((T$236-$P162)/$M162&gt;0,1,0)),0)</f>
        <v>0</v>
      </c>
      <c r="U162" s="113">
        <f>IFERROR(IF(AND((U$236-$P162)/$M162&gt;0,(U$236-$P162)/$M162&lt;1),(U$236-$P162)/$M162,IF((U$236-$P162)/$M162&gt;0,1,0)),0)</f>
        <v>0</v>
      </c>
      <c r="V162" s="114">
        <f>Q162*($G162-$H162)</f>
        <v>0</v>
      </c>
      <c r="W162" s="114">
        <f>R162*($G162-$H162)-V162</f>
        <v>0</v>
      </c>
      <c r="X162" s="114">
        <f>S162*($G162-$H162)-SUM(V162:W162)</f>
        <v>0</v>
      </c>
      <c r="Y162" s="114">
        <f>T162*($G162-$H162)-SUM(V162:X162)</f>
        <v>0</v>
      </c>
      <c r="Z162" s="114">
        <f>U162*($G162-$H162)-SUM(V162:Y162)</f>
        <v>0</v>
      </c>
    </row>
    <row r="163" spans="1:27" s="10" customFormat="1" ht="21" customHeight="1" x14ac:dyDescent="0.25">
      <c r="A163" s="397"/>
      <c r="B163" s="382"/>
      <c r="C163" s="124" t="str">
        <f>+'RVK SVÆDI'!C141</f>
        <v>Ártúnshöfði -Bíldshöfði (svæði 6)</v>
      </c>
      <c r="D163" s="116">
        <f>+'RVK SVÆDI'!D141</f>
        <v>5</v>
      </c>
      <c r="E163" s="117" t="str">
        <f>+'RVK SVÆDI'!E141</f>
        <v>Ártúnshöfði</v>
      </c>
      <c r="F163" s="117" t="str">
        <f>+'RVK SVÆDI'!F141</f>
        <v>Ártúnshöfði</v>
      </c>
      <c r="G163" s="118"/>
      <c r="H163" s="118"/>
      <c r="I163" s="118"/>
      <c r="J163" s="119"/>
      <c r="K163" s="117"/>
      <c r="L163" s="120"/>
      <c r="M163" s="117"/>
      <c r="N163" s="120"/>
      <c r="O163" s="120"/>
      <c r="P163" s="117"/>
      <c r="Q163" s="121"/>
      <c r="R163" s="121"/>
      <c r="S163" s="121"/>
      <c r="T163" s="121"/>
      <c r="U163" s="121"/>
      <c r="V163" s="122"/>
      <c r="W163" s="122"/>
      <c r="X163" s="122"/>
      <c r="Y163" s="122"/>
      <c r="Z163" s="122"/>
      <c r="AA163" s="117"/>
    </row>
    <row r="164" spans="1:27" ht="21" customHeight="1" x14ac:dyDescent="0.25">
      <c r="A164" s="397"/>
      <c r="B164" s="382"/>
      <c r="C164" t="str">
        <f>+'RVK SVÆDI'!C142</f>
        <v>Höfðar AT1</v>
      </c>
      <c r="D164" s="8">
        <f>+'RVK SVÆDI'!D142</f>
        <v>2</v>
      </c>
      <c r="E164" s="6" t="str">
        <f>+'RVK SVÆDI'!E142</f>
        <v>Ártúnshöfði</v>
      </c>
      <c r="F164" s="6" t="str">
        <f>+'RVK SVÆDI'!F142</f>
        <v>Ártúnshöfði</v>
      </c>
      <c r="G164" s="108">
        <v>10000</v>
      </c>
      <c r="H164" s="108">
        <v>0</v>
      </c>
      <c r="I164" s="108">
        <v>0</v>
      </c>
      <c r="J164" s="109">
        <f t="shared" ref="J164:J166" si="100">+IF(D164=1,(G164-H164-I164),IF(D164=2,(G164-H164-I164),0))</f>
        <v>10000</v>
      </c>
      <c r="L164" s="141">
        <v>10</v>
      </c>
      <c r="M164" s="6">
        <f>+L164*12</f>
        <v>120</v>
      </c>
      <c r="N164" s="112">
        <v>24</v>
      </c>
      <c r="O164" s="112">
        <v>14</v>
      </c>
      <c r="P164" s="6">
        <f>+N164+O164+18</f>
        <v>56</v>
      </c>
      <c r="Q164" s="113">
        <f t="shared" ref="Q164:U166" si="101">IFERROR(IF(AND((Q$236-$P164)/$M164&gt;0,(Q$236-$P164)/$M164&lt;1),(Q$236-$P164)/$M164,IF((Q$236-$P164)/$M164&gt;0,1,0)),0)</f>
        <v>0</v>
      </c>
      <c r="R164" s="113">
        <f t="shared" si="101"/>
        <v>0</v>
      </c>
      <c r="S164" s="113">
        <f t="shared" si="101"/>
        <v>0</v>
      </c>
      <c r="T164" s="113">
        <f t="shared" si="101"/>
        <v>0</v>
      </c>
      <c r="U164" s="113">
        <f t="shared" si="101"/>
        <v>0</v>
      </c>
      <c r="V164" s="114">
        <f>Q164*($G164-$H164)</f>
        <v>0</v>
      </c>
      <c r="W164" s="114">
        <f>R164*($G164-$H164)-V164</f>
        <v>0</v>
      </c>
      <c r="X164" s="114">
        <f>S164*($G164-$H164)-SUM(V164:W164)</f>
        <v>0</v>
      </c>
      <c r="Y164" s="114">
        <f>T164*($G164-$H164)-SUM(V164:X164)</f>
        <v>0</v>
      </c>
      <c r="Z164" s="114">
        <f>U164*($G164-$H164)-SUM(V164:Y164)</f>
        <v>0</v>
      </c>
    </row>
    <row r="165" spans="1:27" ht="21" customHeight="1" x14ac:dyDescent="0.25">
      <c r="A165" s="397"/>
      <c r="B165" s="382"/>
      <c r="C165" t="str">
        <f>+'RVK SVÆDI'!C143</f>
        <v>Viðarhöfði AT2</v>
      </c>
      <c r="D165" s="8">
        <f>+'RVK SVÆDI'!D143</f>
        <v>2</v>
      </c>
      <c r="E165" s="6" t="str">
        <f>+'RVK SVÆDI'!E143</f>
        <v>Ártúnshöfði</v>
      </c>
      <c r="F165" s="6" t="str">
        <f>+'RVK SVÆDI'!F143</f>
        <v>Ártúnshöfði</v>
      </c>
      <c r="G165" s="108">
        <v>8955</v>
      </c>
      <c r="H165" s="108">
        <v>0</v>
      </c>
      <c r="I165" s="108">
        <v>0</v>
      </c>
      <c r="J165" s="109">
        <f t="shared" si="100"/>
        <v>8955</v>
      </c>
      <c r="L165" s="141">
        <v>10</v>
      </c>
      <c r="M165" s="6">
        <f>+L165*12</f>
        <v>120</v>
      </c>
      <c r="N165" s="112">
        <v>24</v>
      </c>
      <c r="O165" s="112">
        <v>14</v>
      </c>
      <c r="P165" s="6">
        <f>+N165+O165+18</f>
        <v>56</v>
      </c>
      <c r="Q165" s="113">
        <f t="shared" si="101"/>
        <v>0</v>
      </c>
      <c r="R165" s="113">
        <f t="shared" si="101"/>
        <v>0</v>
      </c>
      <c r="S165" s="113">
        <f t="shared" si="101"/>
        <v>0</v>
      </c>
      <c r="T165" s="113">
        <f t="shared" si="101"/>
        <v>0</v>
      </c>
      <c r="U165" s="113">
        <f t="shared" si="101"/>
        <v>0</v>
      </c>
      <c r="V165" s="114">
        <f>Q165*($G165-$H165)</f>
        <v>0</v>
      </c>
      <c r="W165" s="114">
        <f>R165*($G165-$H165)-V165</f>
        <v>0</v>
      </c>
      <c r="X165" s="114">
        <f>S165*($G165-$H165)-SUM(V165:W165)</f>
        <v>0</v>
      </c>
      <c r="Y165" s="114">
        <f>T165*($G165-$H165)-SUM(V165:X165)</f>
        <v>0</v>
      </c>
      <c r="Z165" s="114">
        <f>U165*($G165-$H165)-SUM(V165:Y165)</f>
        <v>0</v>
      </c>
    </row>
    <row r="166" spans="1:27" ht="21" customHeight="1" x14ac:dyDescent="0.25">
      <c r="A166" s="397"/>
      <c r="B166" s="382"/>
      <c r="C166" t="str">
        <f>+'RVK SVÆDI'!C144</f>
        <v>Höfðar M4b afgangur</v>
      </c>
      <c r="D166" s="8">
        <f>+'RVK SVÆDI'!D144</f>
        <v>5</v>
      </c>
      <c r="E166" s="6" t="str">
        <f>+'RVK SVÆDI'!E144</f>
        <v>Ártúnshöfði</v>
      </c>
      <c r="F166" s="6" t="str">
        <f>+'RVK SVÆDI'!F144</f>
        <v>Ártúnshöfði</v>
      </c>
      <c r="G166" s="108">
        <v>70000</v>
      </c>
      <c r="H166" s="108">
        <v>0</v>
      </c>
      <c r="I166" s="108">
        <v>0</v>
      </c>
      <c r="J166" s="109">
        <f t="shared" si="100"/>
        <v>0</v>
      </c>
      <c r="L166" s="112">
        <v>11</v>
      </c>
      <c r="M166" s="6">
        <f>+L166*12</f>
        <v>132</v>
      </c>
      <c r="N166" s="112">
        <v>24</v>
      </c>
      <c r="O166" s="112">
        <v>14</v>
      </c>
      <c r="P166" s="6">
        <f>+N166+O166+18</f>
        <v>56</v>
      </c>
      <c r="Q166" s="113">
        <f t="shared" si="101"/>
        <v>0</v>
      </c>
      <c r="R166" s="113">
        <f t="shared" si="101"/>
        <v>0</v>
      </c>
      <c r="S166" s="113">
        <f t="shared" si="101"/>
        <v>0</v>
      </c>
      <c r="T166" s="113">
        <f t="shared" si="101"/>
        <v>0</v>
      </c>
      <c r="U166" s="113">
        <f t="shared" si="101"/>
        <v>0</v>
      </c>
      <c r="V166" s="114">
        <f>Q166*($G166-$H166)</f>
        <v>0</v>
      </c>
      <c r="W166" s="114">
        <f>R166*($G166-$H166)-V166</f>
        <v>0</v>
      </c>
      <c r="X166" s="114">
        <f>S166*($G166-$H166)-SUM(V166:W166)</f>
        <v>0</v>
      </c>
      <c r="Y166" s="114">
        <f>T166*($G166-$H166)-SUM(V166:X166)</f>
        <v>0</v>
      </c>
      <c r="Z166" s="114">
        <f>U166*($G166-$H166)-SUM(V166:Y166)</f>
        <v>0</v>
      </c>
    </row>
    <row r="167" spans="1:27" s="10" customFormat="1" ht="21" customHeight="1" x14ac:dyDescent="0.25">
      <c r="A167" s="397"/>
      <c r="B167" s="382"/>
      <c r="C167" s="124" t="str">
        <f>+'RVK SVÆDI'!C145</f>
        <v>Hylir</v>
      </c>
      <c r="D167" s="116">
        <f>+'RVK SVÆDI'!D145</f>
        <v>4</v>
      </c>
      <c r="E167" s="117" t="str">
        <f>+'RVK SVÆDI'!E145</f>
        <v>Árbær</v>
      </c>
      <c r="F167" s="117" t="str">
        <f>+'RVK SVÆDI'!F145</f>
        <v>Ártúnsskóli</v>
      </c>
      <c r="G167" s="118"/>
      <c r="H167" s="118"/>
      <c r="I167" s="118"/>
      <c r="J167" s="119"/>
      <c r="K167" s="117"/>
      <c r="L167" s="120"/>
      <c r="M167" s="117"/>
      <c r="N167" s="120"/>
      <c r="O167" s="120"/>
      <c r="P167" s="117"/>
      <c r="Q167" s="121"/>
      <c r="R167" s="121"/>
      <c r="S167" s="121"/>
      <c r="T167" s="121"/>
      <c r="U167" s="121"/>
      <c r="V167" s="122"/>
      <c r="W167" s="122"/>
      <c r="X167" s="122"/>
      <c r="Y167" s="122"/>
      <c r="Z167" s="122"/>
      <c r="AA167" s="117"/>
    </row>
    <row r="168" spans="1:27" s="10" customFormat="1" ht="21" customHeight="1" x14ac:dyDescent="0.25">
      <c r="A168" s="397"/>
      <c r="B168" s="382"/>
      <c r="C168" s="124" t="str">
        <f>+'RVK SVÆDI'!C146</f>
        <v>Rafstöðvarvegur - Ártúnsholt - vestur</v>
      </c>
      <c r="D168" s="116">
        <f>+'RVK SVÆDI'!D146</f>
        <v>5</v>
      </c>
      <c r="E168" s="117" t="str">
        <f>+'RVK SVÆDI'!E146</f>
        <v>Árbær</v>
      </c>
      <c r="F168" s="117" t="str">
        <f>+'RVK SVÆDI'!F146</f>
        <v>Ártúnsskóli</v>
      </c>
      <c r="G168" s="118"/>
      <c r="H168" s="118"/>
      <c r="I168" s="118"/>
      <c r="J168" s="119"/>
      <c r="K168" s="117"/>
      <c r="L168" s="120"/>
      <c r="M168" s="117"/>
      <c r="N168" s="120"/>
      <c r="O168" s="120"/>
      <c r="P168" s="117"/>
      <c r="Q168" s="121"/>
      <c r="R168" s="121"/>
      <c r="S168" s="121"/>
      <c r="T168" s="121"/>
      <c r="U168" s="121"/>
      <c r="V168" s="122"/>
      <c r="W168" s="122"/>
      <c r="X168" s="122"/>
      <c r="Y168" s="122"/>
      <c r="Z168" s="122"/>
      <c r="AA168" s="117"/>
    </row>
    <row r="169" spans="1:27" s="10" customFormat="1" ht="21" customHeight="1" x14ac:dyDescent="0.25">
      <c r="A169" s="397"/>
      <c r="B169" s="382"/>
      <c r="C169" s="124" t="str">
        <f>+'RVK SVÆDI'!C147</f>
        <v>Rafstöðvarvegur - Ártúnsholt - austur</v>
      </c>
      <c r="D169" s="116">
        <f>+'RVK SVÆDI'!D147</f>
        <v>5</v>
      </c>
      <c r="E169" s="117" t="str">
        <f>+'RVK SVÆDI'!E147</f>
        <v>Árbær</v>
      </c>
      <c r="F169" s="117" t="str">
        <f>+'RVK SVÆDI'!F147</f>
        <v>Ártúnsskóli</v>
      </c>
      <c r="G169" s="118"/>
      <c r="H169" s="118"/>
      <c r="I169" s="118"/>
      <c r="J169" s="119"/>
      <c r="K169" s="117"/>
      <c r="L169" s="120"/>
      <c r="M169" s="117"/>
      <c r="N169" s="120"/>
      <c r="O169" s="120"/>
      <c r="P169" s="117"/>
      <c r="Q169" s="121"/>
      <c r="R169" s="121"/>
      <c r="S169" s="121"/>
      <c r="T169" s="121"/>
      <c r="U169" s="121"/>
      <c r="V169" s="122"/>
      <c r="W169" s="122"/>
      <c r="X169" s="122"/>
      <c r="Y169" s="122"/>
      <c r="Z169" s="122"/>
      <c r="AA169" s="117"/>
    </row>
    <row r="170" spans="1:27" s="10" customFormat="1" ht="21" customHeight="1" x14ac:dyDescent="0.25">
      <c r="A170" s="397"/>
      <c r="B170" s="382"/>
      <c r="C170" s="124" t="str">
        <f>+'RVK SVÆDI'!C148</f>
        <v>Árbær, nokkrir reitir- nýjar íbúðir, hverfisskipulag</v>
      </c>
      <c r="D170" s="116">
        <f>+'RVK SVÆDI'!D148</f>
        <v>4</v>
      </c>
      <c r="E170" s="117" t="str">
        <f>+'RVK SVÆDI'!E148</f>
        <v>Árbær</v>
      </c>
      <c r="F170" s="117" t="str">
        <f>+'RVK SVÆDI'!F148</f>
        <v>Árbæjarskóli</v>
      </c>
      <c r="G170" s="118"/>
      <c r="H170" s="118"/>
      <c r="I170" s="118"/>
      <c r="J170" s="119"/>
      <c r="K170" s="117"/>
      <c r="L170" s="120"/>
      <c r="M170" s="117"/>
      <c r="N170" s="120"/>
      <c r="O170" s="120"/>
      <c r="P170" s="117"/>
      <c r="Q170" s="121"/>
      <c r="R170" s="121"/>
      <c r="S170" s="121"/>
      <c r="T170" s="121"/>
      <c r="U170" s="121"/>
      <c r="V170" s="122"/>
      <c r="W170" s="122"/>
      <c r="X170" s="122"/>
      <c r="Y170" s="122"/>
      <c r="Z170" s="122"/>
      <c r="AA170" s="117"/>
    </row>
    <row r="171" spans="1:27" s="10" customFormat="1" ht="21" customHeight="1" x14ac:dyDescent="0.25">
      <c r="A171" s="397"/>
      <c r="B171" s="382"/>
      <c r="C171" s="124"/>
      <c r="D171" s="116"/>
      <c r="E171" s="117"/>
      <c r="F171" s="117"/>
      <c r="G171" s="118"/>
      <c r="H171" s="118"/>
      <c r="I171" s="118"/>
      <c r="J171" s="119"/>
      <c r="K171" s="117"/>
      <c r="L171" s="120"/>
      <c r="M171" s="117"/>
      <c r="N171" s="120"/>
      <c r="O171" s="120"/>
      <c r="P171" s="117"/>
      <c r="Q171" s="121"/>
      <c r="R171" s="121"/>
      <c r="S171" s="121"/>
      <c r="T171" s="121"/>
      <c r="U171" s="121"/>
      <c r="V171" s="122"/>
      <c r="W171" s="122"/>
      <c r="X171" s="122"/>
      <c r="Y171" s="122"/>
      <c r="Z171" s="122"/>
      <c r="AA171" s="117"/>
    </row>
    <row r="172" spans="1:27" s="10" customFormat="1" ht="21" customHeight="1" x14ac:dyDescent="0.25">
      <c r="A172" s="397"/>
      <c r="B172" s="382"/>
      <c r="C172" s="124" t="str">
        <f>+'RVK SVÆDI'!C150</f>
        <v>Hraunbær 103-105</v>
      </c>
      <c r="D172" s="116">
        <f>+'RVK SVÆDI'!D150</f>
        <v>1</v>
      </c>
      <c r="E172" s="117" t="str">
        <f>+'RVK SVÆDI'!E150</f>
        <v>Árbær</v>
      </c>
      <c r="F172" s="117" t="str">
        <f>+'RVK SVÆDI'!F150</f>
        <v>Árbæjarskóli</v>
      </c>
      <c r="G172" s="118"/>
      <c r="H172" s="118"/>
      <c r="I172" s="118"/>
      <c r="J172" s="119"/>
      <c r="K172" s="117"/>
      <c r="L172" s="120"/>
      <c r="M172" s="117"/>
      <c r="N172" s="120"/>
      <c r="O172" s="120"/>
      <c r="P172" s="117"/>
      <c r="Q172" s="121"/>
      <c r="R172" s="121"/>
      <c r="S172" s="121"/>
      <c r="T172" s="121"/>
      <c r="U172" s="121"/>
      <c r="V172" s="122"/>
      <c r="W172" s="122"/>
      <c r="X172" s="122"/>
      <c r="Y172" s="122"/>
      <c r="Z172" s="122"/>
      <c r="AA172" s="117"/>
    </row>
    <row r="173" spans="1:27" s="10" customFormat="1" ht="21" customHeight="1" x14ac:dyDescent="0.25">
      <c r="A173" s="397"/>
      <c r="B173" s="382"/>
      <c r="C173" s="124" t="str">
        <f>+'RVK SVÆDI'!C151</f>
        <v>Hraunbær-Bæjarháls-austur</v>
      </c>
      <c r="D173" s="116">
        <f>+'RVK SVÆDI'!D151</f>
        <v>1</v>
      </c>
      <c r="E173" s="117" t="str">
        <f>+'RVK SVÆDI'!E151</f>
        <v>Árbær</v>
      </c>
      <c r="F173" s="117" t="str">
        <f>+'RVK SVÆDI'!F151</f>
        <v>Árbæjarskóli</v>
      </c>
      <c r="G173" s="118"/>
      <c r="H173" s="118"/>
      <c r="I173" s="118"/>
      <c r="J173" s="119"/>
      <c r="K173" s="117"/>
      <c r="L173" s="120"/>
      <c r="M173" s="117"/>
      <c r="N173" s="120"/>
      <c r="O173" s="120"/>
      <c r="P173" s="117"/>
      <c r="Q173" s="121"/>
      <c r="R173" s="121"/>
      <c r="S173" s="121"/>
      <c r="T173" s="121"/>
      <c r="U173" s="121"/>
      <c r="V173" s="122"/>
      <c r="W173" s="122"/>
      <c r="X173" s="122"/>
      <c r="Y173" s="122"/>
      <c r="Z173" s="122"/>
      <c r="AA173" s="117"/>
    </row>
    <row r="174" spans="1:27" s="10" customFormat="1" ht="21" customHeight="1" x14ac:dyDescent="0.25">
      <c r="A174" s="397"/>
      <c r="B174" s="382"/>
      <c r="C174" s="124" t="str">
        <f>+'RVK SVÆDI'!C152</f>
        <v>Hraunbær-Bæjarháls-vestur</v>
      </c>
      <c r="D174" s="116">
        <f>+'RVK SVÆDI'!D152</f>
        <v>1</v>
      </c>
      <c r="E174" s="117" t="str">
        <f>+'RVK SVÆDI'!E152</f>
        <v>Árbær</v>
      </c>
      <c r="F174" s="117" t="str">
        <f>+'RVK SVÆDI'!F152</f>
        <v>Árbæjarskóli</v>
      </c>
      <c r="G174" s="118"/>
      <c r="H174" s="118"/>
      <c r="I174" s="118"/>
      <c r="J174" s="119"/>
      <c r="K174" s="117"/>
      <c r="L174" s="120"/>
      <c r="M174" s="117"/>
      <c r="N174" s="120"/>
      <c r="O174" s="120"/>
      <c r="P174" s="117"/>
      <c r="Q174" s="121"/>
      <c r="R174" s="121"/>
      <c r="S174" s="121"/>
      <c r="T174" s="121"/>
      <c r="U174" s="121"/>
      <c r="V174" s="122"/>
      <c r="W174" s="122"/>
      <c r="X174" s="122"/>
      <c r="Y174" s="122"/>
      <c r="Z174" s="122"/>
      <c r="AA174" s="117"/>
    </row>
    <row r="175" spans="1:27" s="10" customFormat="1" ht="21" customHeight="1" x14ac:dyDescent="0.25">
      <c r="A175" s="397"/>
      <c r="B175" s="382"/>
      <c r="C175" s="124" t="str">
        <f>+'RVK SVÆDI'!C153</f>
        <v>Brekknaás-Vindás</v>
      </c>
      <c r="D175" s="116">
        <f>+'RVK SVÆDI'!D153</f>
        <v>2</v>
      </c>
      <c r="E175" s="117" t="str">
        <f>+'RVK SVÆDI'!E153</f>
        <v>Árbær</v>
      </c>
      <c r="F175" s="117" t="str">
        <f>+'RVK SVÆDI'!F153</f>
        <v>Selásskóli</v>
      </c>
      <c r="G175" s="118"/>
      <c r="H175" s="118"/>
      <c r="I175" s="118"/>
      <c r="J175" s="119"/>
      <c r="K175" s="117"/>
      <c r="L175" s="120"/>
      <c r="M175" s="117"/>
      <c r="N175" s="120"/>
      <c r="O175" s="120"/>
      <c r="P175" s="117"/>
      <c r="Q175" s="121"/>
      <c r="R175" s="121"/>
      <c r="S175" s="121"/>
      <c r="T175" s="121"/>
      <c r="U175" s="121"/>
      <c r="V175" s="122"/>
      <c r="W175" s="122"/>
      <c r="X175" s="122"/>
      <c r="Y175" s="122"/>
      <c r="Z175" s="122"/>
      <c r="AA175" s="117"/>
    </row>
    <row r="176" spans="1:27" s="10" customFormat="1" ht="21" customHeight="1" x14ac:dyDescent="0.25">
      <c r="A176" s="397"/>
      <c r="B176" s="382"/>
      <c r="C176" s="124" t="str">
        <f>+'RVK SVÆDI'!C154</f>
        <v>Norðlingaholt- Elliðabraut</v>
      </c>
      <c r="D176" s="116">
        <f>+'RVK SVÆDI'!D154</f>
        <v>1</v>
      </c>
      <c r="E176" s="117" t="str">
        <f>+'RVK SVÆDI'!E154</f>
        <v>Árbær</v>
      </c>
      <c r="F176" s="117" t="str">
        <f>+'RVK SVÆDI'!F154</f>
        <v>Norðlingaskóli</v>
      </c>
      <c r="G176" s="118"/>
      <c r="H176" s="118"/>
      <c r="I176" s="118"/>
      <c r="J176" s="119"/>
      <c r="K176" s="117"/>
      <c r="L176" s="120"/>
      <c r="M176" s="117"/>
      <c r="N176" s="120"/>
      <c r="O176" s="120"/>
      <c r="P176" s="117"/>
      <c r="Q176" s="121"/>
      <c r="R176" s="121"/>
      <c r="S176" s="121"/>
      <c r="T176" s="121"/>
      <c r="U176" s="121"/>
      <c r="V176" s="122"/>
      <c r="W176" s="122"/>
      <c r="X176" s="122"/>
      <c r="Y176" s="122"/>
      <c r="Z176" s="122"/>
      <c r="AA176" s="117"/>
    </row>
    <row r="177" spans="1:27" s="10" customFormat="1" ht="21" customHeight="1" x14ac:dyDescent="0.25">
      <c r="A177" s="397"/>
      <c r="B177" s="382"/>
      <c r="C177" s="124" t="str">
        <f>+'RVK SVÆDI'!C155</f>
        <v>Hraunbær 102(B)</v>
      </c>
      <c r="D177" s="116">
        <f>+'RVK SVÆDI'!D155</f>
        <v>5</v>
      </c>
      <c r="E177" s="117" t="str">
        <f>+'RVK SVÆDI'!E155</f>
        <v>Árbær</v>
      </c>
      <c r="F177" s="117" t="str">
        <f>+'RVK SVÆDI'!F155</f>
        <v>Árbæjarskóli</v>
      </c>
      <c r="G177" s="118"/>
      <c r="H177" s="118"/>
      <c r="I177" s="118"/>
      <c r="J177" s="119"/>
      <c r="K177" s="117"/>
      <c r="L177" s="120"/>
      <c r="M177" s="117"/>
      <c r="N177" s="120"/>
      <c r="O177" s="120"/>
      <c r="P177" s="117"/>
      <c r="Q177" s="121"/>
      <c r="R177" s="121"/>
      <c r="S177" s="121"/>
      <c r="T177" s="121"/>
      <c r="U177" s="121"/>
      <c r="V177" s="122"/>
      <c r="W177" s="122"/>
      <c r="X177" s="122"/>
      <c r="Y177" s="122"/>
      <c r="Z177" s="122"/>
      <c r="AA177" s="117"/>
    </row>
    <row r="178" spans="1:27" ht="21" customHeight="1" x14ac:dyDescent="0.25">
      <c r="A178" s="397"/>
      <c r="B178" s="382"/>
      <c r="C178" s="7" t="str">
        <f>+'RVK SVÆDI'!C156</f>
        <v>Norðlingabraut</v>
      </c>
      <c r="D178" s="8">
        <f>+'RVK SVÆDI'!D156</f>
        <v>2</v>
      </c>
      <c r="E178" s="6" t="str">
        <f>+'RVK SVÆDI'!E156</f>
        <v>Árbær</v>
      </c>
      <c r="F178" s="6" t="str">
        <f>+'RVK SVÆDI'!F156</f>
        <v>Árbæjarskóli</v>
      </c>
      <c r="G178" s="108">
        <v>10000</v>
      </c>
      <c r="H178" s="108">
        <v>0</v>
      </c>
      <c r="I178" s="108">
        <v>0</v>
      </c>
      <c r="J178" s="109">
        <f t="shared" si="90"/>
        <v>10000</v>
      </c>
      <c r="L178" s="110" t="s">
        <v>305</v>
      </c>
      <c r="M178" s="111"/>
      <c r="N178" s="111"/>
      <c r="O178" s="111"/>
      <c r="P178" s="111"/>
      <c r="Q178" s="111"/>
      <c r="R178" s="111"/>
      <c r="S178" s="111"/>
      <c r="T178" s="111"/>
      <c r="U178" s="111"/>
      <c r="V178" s="108">
        <v>0</v>
      </c>
      <c r="W178" s="108">
        <v>0</v>
      </c>
      <c r="X178" s="108">
        <v>0</v>
      </c>
      <c r="Y178" s="108">
        <v>2000</v>
      </c>
      <c r="Z178" s="108">
        <v>0</v>
      </c>
    </row>
    <row r="179" spans="1:27" ht="21" customHeight="1" x14ac:dyDescent="0.25">
      <c r="A179" s="397"/>
      <c r="B179" s="382"/>
      <c r="C179" s="7" t="str">
        <f>+'RVK SVÆDI'!C157</f>
        <v>Hálsar AT2 samþykktar heimildir</v>
      </c>
      <c r="D179" s="8">
        <f>+'RVK SVÆDI'!D157</f>
        <v>2</v>
      </c>
      <c r="E179" s="6" t="str">
        <f>+'RVK SVÆDI'!E157</f>
        <v>Árbær</v>
      </c>
      <c r="F179" s="6" t="str">
        <f>+'RVK SVÆDI'!F157</f>
        <v>Árbæjarskóli</v>
      </c>
      <c r="G179" s="108">
        <v>70000</v>
      </c>
      <c r="H179" s="108">
        <v>0</v>
      </c>
      <c r="I179" s="108">
        <v>0</v>
      </c>
      <c r="J179" s="109">
        <f t="shared" si="90"/>
        <v>70000</v>
      </c>
      <c r="L179" s="112">
        <v>20</v>
      </c>
      <c r="M179" s="6">
        <f t="shared" ref="M179:M180" si="102">+L179*12</f>
        <v>240</v>
      </c>
      <c r="N179" s="112">
        <v>-12</v>
      </c>
      <c r="O179" s="112">
        <v>0</v>
      </c>
      <c r="P179" s="6">
        <f t="shared" ref="P179:P180" si="103">+N179+O179+18</f>
        <v>6</v>
      </c>
      <c r="Q179" s="113">
        <f t="shared" ref="Q179:U180" si="104">IFERROR(IF(AND((Q$236-$P179)/$M179&gt;0,(Q$236-$P179)/$M179&lt;1),(Q$236-$P179)/$M179,IF((Q$236-$P179)/$M179&gt;0,1,0)),0)</f>
        <v>0</v>
      </c>
      <c r="R179" s="113">
        <f t="shared" si="104"/>
        <v>0.05</v>
      </c>
      <c r="S179" s="113">
        <f t="shared" si="104"/>
        <v>0.1</v>
      </c>
      <c r="T179" s="113">
        <f t="shared" si="104"/>
        <v>0.15</v>
      </c>
      <c r="U179" s="113">
        <f t="shared" si="104"/>
        <v>0.2</v>
      </c>
      <c r="V179" s="114">
        <f t="shared" ref="V179:V180" si="105">Q179*($G179-$H179)</f>
        <v>0</v>
      </c>
      <c r="W179" s="114">
        <f t="shared" ref="W179:W180" si="106">R179*($G179-$H179)-V179</f>
        <v>3500</v>
      </c>
      <c r="X179" s="114">
        <f t="shared" ref="X179" si="107">S179*($G179-$H179)-SUM(V179:W179)</f>
        <v>3500</v>
      </c>
      <c r="Y179" s="114">
        <f t="shared" ref="Y179" si="108">T179*($G179-$H179)-SUM(V179:X179)</f>
        <v>3500</v>
      </c>
      <c r="Z179" s="114">
        <f t="shared" ref="Z179:Z180" si="109">U179*($G179-$H179)-SUM(V179:Y179)</f>
        <v>3500</v>
      </c>
    </row>
    <row r="180" spans="1:27" ht="21" customHeight="1" x14ac:dyDescent="0.25">
      <c r="A180" s="397"/>
      <c r="B180" s="382"/>
      <c r="C180" s="7" t="str">
        <f>+'RVK SVÆDI'!C158</f>
        <v>Hálsar AT2 áætluð möguleg viðbót með br. á DSK</v>
      </c>
      <c r="D180" s="8">
        <f>+'RVK SVÆDI'!D158</f>
        <v>3</v>
      </c>
      <c r="E180" s="6" t="str">
        <f>+'RVK SVÆDI'!E158</f>
        <v>Árbær</v>
      </c>
      <c r="F180" s="6" t="str">
        <f>+'RVK SVÆDI'!F158</f>
        <v>Árbæjarskóli</v>
      </c>
      <c r="G180" s="108">
        <v>100000</v>
      </c>
      <c r="H180" s="108">
        <v>0</v>
      </c>
      <c r="I180" s="108">
        <v>0</v>
      </c>
      <c r="J180" s="109">
        <f t="shared" si="90"/>
        <v>0</v>
      </c>
      <c r="L180" s="112">
        <v>30</v>
      </c>
      <c r="M180" s="6">
        <f t="shared" si="102"/>
        <v>360</v>
      </c>
      <c r="N180" s="112">
        <v>48</v>
      </c>
      <c r="O180" s="112">
        <v>14</v>
      </c>
      <c r="P180" s="6">
        <f t="shared" si="103"/>
        <v>80</v>
      </c>
      <c r="Q180" s="113">
        <f t="shared" si="104"/>
        <v>0</v>
      </c>
      <c r="R180" s="113">
        <f t="shared" si="104"/>
        <v>0</v>
      </c>
      <c r="S180" s="113">
        <f t="shared" si="104"/>
        <v>0</v>
      </c>
      <c r="T180" s="113">
        <f t="shared" si="104"/>
        <v>0</v>
      </c>
      <c r="U180" s="113">
        <f t="shared" si="104"/>
        <v>0</v>
      </c>
      <c r="V180" s="114">
        <f t="shared" si="105"/>
        <v>0</v>
      </c>
      <c r="W180" s="114">
        <f t="shared" si="106"/>
        <v>0</v>
      </c>
      <c r="X180" s="114">
        <f t="shared" ref="X180" si="110">S180*($G180-$H180)-SUM(V180:W180)</f>
        <v>0</v>
      </c>
      <c r="Y180" s="114">
        <f t="shared" ref="Y180" si="111">T180*($G180-$H180)-SUM(V180:X180)</f>
        <v>0</v>
      </c>
      <c r="Z180" s="114">
        <f t="shared" si="109"/>
        <v>0</v>
      </c>
    </row>
    <row r="181" spans="1:27" ht="21" customHeight="1" x14ac:dyDescent="0.25">
      <c r="A181" s="397"/>
      <c r="B181" s="382"/>
      <c r="C181" s="7" t="str">
        <f>+'RVK SVÆDI'!C159</f>
        <v>Suður-Mjódd atvinnulóðir</v>
      </c>
      <c r="D181" s="8">
        <f>+'RVK SVÆDI'!D159</f>
        <v>2</v>
      </c>
      <c r="E181" s="6" t="str">
        <f>+'RVK SVÆDI'!E159</f>
        <v>Árbær</v>
      </c>
      <c r="F181" s="6" t="str">
        <f>+'RVK SVÆDI'!F159</f>
        <v>Árbæjarskóli</v>
      </c>
      <c r="G181" s="108">
        <v>40000</v>
      </c>
      <c r="H181" s="108">
        <v>0</v>
      </c>
      <c r="I181" s="108">
        <v>0</v>
      </c>
      <c r="J181" s="109">
        <f t="shared" si="90"/>
        <v>40000</v>
      </c>
      <c r="L181" s="110" t="s">
        <v>305</v>
      </c>
      <c r="M181" s="111"/>
      <c r="N181" s="111"/>
      <c r="O181" s="111"/>
      <c r="P181" s="111"/>
      <c r="Q181" s="111"/>
      <c r="R181" s="111"/>
      <c r="S181" s="111"/>
      <c r="T181" s="111"/>
      <c r="U181" s="111"/>
      <c r="V181" s="108">
        <v>0</v>
      </c>
      <c r="W181" s="108">
        <v>0</v>
      </c>
      <c r="X181" s="108">
        <v>0</v>
      </c>
      <c r="Y181" s="108">
        <v>2000</v>
      </c>
      <c r="Z181" s="108">
        <v>2000</v>
      </c>
    </row>
    <row r="182" spans="1:27" ht="21" customHeight="1" x14ac:dyDescent="0.25">
      <c r="A182" s="397"/>
      <c r="B182" s="382"/>
      <c r="C182" s="7" t="str">
        <f>+'RVK SVÆDI'!C160</f>
        <v>Jaðarsel ný slökkvistöð</v>
      </c>
      <c r="D182" s="8">
        <f>+'RVK SVÆDI'!D160</f>
        <v>3</v>
      </c>
      <c r="E182" s="6" t="str">
        <f>+'RVK SVÆDI'!E160</f>
        <v>Árbær</v>
      </c>
      <c r="F182" s="6" t="str">
        <f>+'RVK SVÆDI'!F160</f>
        <v>Árbæjarskóli</v>
      </c>
      <c r="G182" s="108">
        <v>2000</v>
      </c>
      <c r="H182" s="108">
        <v>0</v>
      </c>
      <c r="I182" s="108">
        <v>0</v>
      </c>
      <c r="J182" s="109">
        <f t="shared" si="90"/>
        <v>0</v>
      </c>
      <c r="L182" s="110" t="s">
        <v>305</v>
      </c>
      <c r="M182" s="111"/>
      <c r="N182" s="111"/>
      <c r="O182" s="111"/>
      <c r="P182" s="111"/>
      <c r="Q182" s="111"/>
      <c r="R182" s="111"/>
      <c r="S182" s="111"/>
      <c r="T182" s="111"/>
      <c r="U182" s="111"/>
      <c r="V182" s="108">
        <v>0</v>
      </c>
      <c r="W182" s="108">
        <v>0</v>
      </c>
      <c r="X182" s="108">
        <v>0</v>
      </c>
      <c r="Y182" s="108">
        <v>0</v>
      </c>
      <c r="Z182" s="108">
        <v>0</v>
      </c>
    </row>
    <row r="183" spans="1:27" s="10" customFormat="1" ht="21" customHeight="1" x14ac:dyDescent="0.25">
      <c r="A183" s="397"/>
      <c r="B183" s="382"/>
      <c r="C183" s="124" t="str">
        <f>+'RVK SVÆDI'!C161</f>
        <v>Mjódd-Norður-Mjódd</v>
      </c>
      <c r="D183" s="116">
        <f>+'RVK SVÆDI'!D161</f>
        <v>3</v>
      </c>
      <c r="E183" s="117" t="str">
        <f>+'RVK SVÆDI'!E161</f>
        <v>Breiðholt</v>
      </c>
      <c r="F183" s="117" t="str">
        <f>+'RVK SVÆDI'!F161</f>
        <v>Breiðholtsskóli</v>
      </c>
      <c r="G183" s="118"/>
      <c r="H183" s="118"/>
      <c r="I183" s="118"/>
      <c r="J183" s="119"/>
      <c r="K183" s="117"/>
      <c r="L183" s="120"/>
      <c r="M183" s="117"/>
      <c r="N183" s="120"/>
      <c r="O183" s="120"/>
      <c r="P183" s="117"/>
      <c r="Q183" s="121"/>
      <c r="R183" s="121"/>
      <c r="S183" s="121"/>
      <c r="T183" s="121"/>
      <c r="U183" s="121"/>
      <c r="V183" s="122"/>
      <c r="W183" s="122"/>
      <c r="X183" s="122"/>
      <c r="Y183" s="122"/>
      <c r="Z183" s="122"/>
      <c r="AA183" s="117"/>
    </row>
    <row r="184" spans="1:27" s="10" customFormat="1" ht="21" customHeight="1" x14ac:dyDescent="0.25">
      <c r="A184" s="397"/>
      <c r="B184" s="382"/>
      <c r="C184" s="124" t="str">
        <f>+'RVK SVÆDI'!C162</f>
        <v>Suður-Mjódd- Skógarsel 10 (B)</v>
      </c>
      <c r="D184" s="116">
        <f>+'RVK SVÆDI'!D162</f>
        <v>4</v>
      </c>
      <c r="E184" s="117" t="str">
        <f>+'RVK SVÆDI'!E162</f>
        <v>Breiðholt</v>
      </c>
      <c r="F184" s="117" t="str">
        <f>+'RVK SVÆDI'!F162</f>
        <v>Ölduselsskóli</v>
      </c>
      <c r="G184" s="118"/>
      <c r="H184" s="118"/>
      <c r="I184" s="118"/>
      <c r="J184" s="119"/>
      <c r="K184" s="117"/>
      <c r="L184" s="120"/>
      <c r="M184" s="117"/>
      <c r="N184" s="120"/>
      <c r="O184" s="120"/>
      <c r="P184" s="117"/>
      <c r="Q184" s="121"/>
      <c r="R184" s="121"/>
      <c r="S184" s="121"/>
      <c r="T184" s="121"/>
      <c r="U184" s="121"/>
      <c r="V184" s="122"/>
      <c r="W184" s="122"/>
      <c r="X184" s="122"/>
      <c r="Y184" s="122"/>
      <c r="Z184" s="122"/>
      <c r="AA184" s="117"/>
    </row>
    <row r="185" spans="1:27" s="10" customFormat="1" ht="21" customHeight="1" x14ac:dyDescent="0.25">
      <c r="A185" s="397"/>
      <c r="B185" s="382"/>
      <c r="C185" s="124" t="str">
        <f>+'RVK SVÆDI'!C163</f>
        <v>Suður-Mjódd- Árskógar 5-7</v>
      </c>
      <c r="D185" s="116">
        <f>+'RVK SVÆDI'!D163</f>
        <v>1</v>
      </c>
      <c r="E185" s="117" t="str">
        <f>+'RVK SVÆDI'!E163</f>
        <v>Breiðholt</v>
      </c>
      <c r="F185" s="117" t="str">
        <f>+'RVK SVÆDI'!F163</f>
        <v>Ölduselsskóli</v>
      </c>
      <c r="G185" s="118"/>
      <c r="H185" s="118"/>
      <c r="I185" s="118"/>
      <c r="J185" s="119"/>
      <c r="K185" s="117"/>
      <c r="L185" s="120"/>
      <c r="M185" s="117"/>
      <c r="N185" s="120"/>
      <c r="O185" s="120"/>
      <c r="P185" s="117"/>
      <c r="Q185" s="121"/>
      <c r="R185" s="121"/>
      <c r="S185" s="121"/>
      <c r="T185" s="121"/>
      <c r="U185" s="121"/>
      <c r="V185" s="122"/>
      <c r="W185" s="122"/>
      <c r="X185" s="122"/>
      <c r="Y185" s="122"/>
      <c r="Z185" s="122"/>
      <c r="AA185" s="117"/>
    </row>
    <row r="186" spans="1:27" s="10" customFormat="1" ht="21" customHeight="1" x14ac:dyDescent="0.25">
      <c r="A186" s="397"/>
      <c r="B186" s="382"/>
      <c r="C186" s="124" t="str">
        <f>+'RVK SVÆDI'!C164</f>
        <v>Arnarbakki</v>
      </c>
      <c r="D186" s="116">
        <f>+'RVK SVÆDI'!D164</f>
        <v>2</v>
      </c>
      <c r="E186" s="117" t="str">
        <f>+'RVK SVÆDI'!E164</f>
        <v>Breiðholt</v>
      </c>
      <c r="F186" s="117" t="str">
        <f>+'RVK SVÆDI'!F164</f>
        <v>Breiðholtsskóli</v>
      </c>
      <c r="G186" s="118"/>
      <c r="H186" s="118"/>
      <c r="I186" s="118"/>
      <c r="J186" s="119"/>
      <c r="K186" s="117"/>
      <c r="L186" s="120"/>
      <c r="M186" s="117"/>
      <c r="N186" s="120"/>
      <c r="O186" s="120"/>
      <c r="P186" s="117"/>
      <c r="Q186" s="121"/>
      <c r="R186" s="121"/>
      <c r="S186" s="121"/>
      <c r="T186" s="121"/>
      <c r="U186" s="121"/>
      <c r="V186" s="122"/>
      <c r="W186" s="122"/>
      <c r="X186" s="122"/>
      <c r="Y186" s="122"/>
      <c r="Z186" s="122"/>
      <c r="AA186" s="117"/>
    </row>
    <row r="187" spans="1:27" s="10" customFormat="1" ht="21" customHeight="1" x14ac:dyDescent="0.25">
      <c r="A187" s="397"/>
      <c r="B187" s="382"/>
      <c r="C187" s="124" t="str">
        <f>+'RVK SVÆDI'!C165</f>
        <v>Völvufell - Eddufell</v>
      </c>
      <c r="D187" s="116">
        <f>+'RVK SVÆDI'!D165</f>
        <v>2</v>
      </c>
      <c r="E187" s="117" t="str">
        <f>+'RVK SVÆDI'!E165</f>
        <v>Breiðholt</v>
      </c>
      <c r="F187" s="117" t="str">
        <f>+'RVK SVÆDI'!F165</f>
        <v>Fellaskóli</v>
      </c>
      <c r="G187" s="118"/>
      <c r="H187" s="118"/>
      <c r="I187" s="118"/>
      <c r="J187" s="119"/>
      <c r="K187" s="117"/>
      <c r="L187" s="120"/>
      <c r="M187" s="117"/>
      <c r="N187" s="120"/>
      <c r="O187" s="120"/>
      <c r="P187" s="117"/>
      <c r="Q187" s="121"/>
      <c r="R187" s="121"/>
      <c r="S187" s="121"/>
      <c r="T187" s="121"/>
      <c r="U187" s="121"/>
      <c r="V187" s="122"/>
      <c r="W187" s="122"/>
      <c r="X187" s="122"/>
      <c r="Y187" s="122"/>
      <c r="Z187" s="122"/>
      <c r="AA187" s="117"/>
    </row>
    <row r="188" spans="1:27" s="10" customFormat="1" ht="21" customHeight="1" x14ac:dyDescent="0.25">
      <c r="A188" s="397"/>
      <c r="B188" s="382"/>
      <c r="C188" s="124"/>
      <c r="D188" s="116"/>
      <c r="E188" s="117"/>
      <c r="F188" s="117"/>
      <c r="G188" s="118"/>
      <c r="H188" s="118"/>
      <c r="I188" s="118"/>
      <c r="J188" s="119"/>
      <c r="K188" s="117"/>
      <c r="L188" s="120"/>
      <c r="M188" s="117"/>
      <c r="N188" s="120"/>
      <c r="O188" s="120"/>
      <c r="P188" s="117"/>
      <c r="Q188" s="121"/>
      <c r="R188" s="121"/>
      <c r="S188" s="121"/>
      <c r="T188" s="121"/>
      <c r="U188" s="121"/>
      <c r="V188" s="122"/>
      <c r="W188" s="122"/>
      <c r="X188" s="122"/>
      <c r="Y188" s="122"/>
      <c r="Z188" s="122"/>
      <c r="AA188" s="117"/>
    </row>
    <row r="189" spans="1:27" s="10" customFormat="1" ht="21" customHeight="1" x14ac:dyDescent="0.25">
      <c r="A189" s="397"/>
      <c r="B189" s="382"/>
      <c r="C189" s="124" t="str">
        <f>+'RVK SVÆDI'!C167</f>
        <v>Suðurhólar</v>
      </c>
      <c r="D189" s="116">
        <f>+'RVK SVÆDI'!D167</f>
        <v>5</v>
      </c>
      <c r="E189" s="117" t="str">
        <f>+'RVK SVÆDI'!E167</f>
        <v>Breiðholt</v>
      </c>
      <c r="F189" s="117" t="str">
        <f>+'RVK SVÆDI'!F167</f>
        <v>Hólabrekkuskóli</v>
      </c>
      <c r="G189" s="118"/>
      <c r="H189" s="118"/>
      <c r="I189" s="118"/>
      <c r="J189" s="119"/>
      <c r="K189" s="117"/>
      <c r="L189" s="120"/>
      <c r="M189" s="117"/>
      <c r="N189" s="120"/>
      <c r="O189" s="120"/>
      <c r="P189" s="117"/>
      <c r="Q189" s="121"/>
      <c r="R189" s="121"/>
      <c r="S189" s="121"/>
      <c r="T189" s="121"/>
      <c r="U189" s="121"/>
      <c r="V189" s="122"/>
      <c r="W189" s="122"/>
      <c r="X189" s="122"/>
      <c r="Y189" s="122"/>
      <c r="Z189" s="122"/>
      <c r="AA189" s="117"/>
    </row>
    <row r="190" spans="1:27" s="10" customFormat="1" ht="21" customHeight="1" x14ac:dyDescent="0.25">
      <c r="A190" s="397"/>
      <c r="B190" s="382"/>
      <c r="C190" s="124" t="str">
        <f>+'RVK SVÆDI'!C168</f>
        <v>Rangársel - Hagasel 23</v>
      </c>
      <c r="D190" s="116">
        <f>+'RVK SVÆDI'!D168</f>
        <v>2</v>
      </c>
      <c r="E190" s="117" t="str">
        <f>+'RVK SVÆDI'!E168</f>
        <v>Breiðholt</v>
      </c>
      <c r="F190" s="117" t="str">
        <f>+'RVK SVÆDI'!F168</f>
        <v>Hólabrekkuskóli</v>
      </c>
      <c r="G190" s="118"/>
      <c r="H190" s="118"/>
      <c r="I190" s="118"/>
      <c r="J190" s="119"/>
      <c r="K190" s="117"/>
      <c r="L190" s="120"/>
      <c r="M190" s="117"/>
      <c r="N190" s="120"/>
      <c r="O190" s="120"/>
      <c r="P190" s="117"/>
      <c r="Q190" s="121"/>
      <c r="R190" s="121"/>
      <c r="S190" s="121"/>
      <c r="T190" s="121"/>
      <c r="U190" s="121"/>
      <c r="V190" s="122"/>
      <c r="W190" s="122"/>
      <c r="X190" s="122"/>
      <c r="Y190" s="122"/>
      <c r="Z190" s="122"/>
      <c r="AA190" s="117"/>
    </row>
    <row r="191" spans="1:27" s="10" customFormat="1" ht="21" customHeight="1" x14ac:dyDescent="0.25">
      <c r="A191" s="397"/>
      <c r="B191" s="382"/>
      <c r="C191" s="124" t="str">
        <f>+'RVK SVÆDI'!C169</f>
        <v>Rangársel (miðsvæði)</v>
      </c>
      <c r="D191" s="116">
        <f>+'RVK SVÆDI'!D169</f>
        <v>5</v>
      </c>
      <c r="E191" s="117" t="str">
        <f>+'RVK SVÆDI'!E169</f>
        <v>Breiðholt</v>
      </c>
      <c r="F191" s="117" t="str">
        <f>+'RVK SVÆDI'!F169</f>
        <v>Seljaskóli</v>
      </c>
      <c r="G191" s="118"/>
      <c r="H191" s="118"/>
      <c r="I191" s="118"/>
      <c r="J191" s="119"/>
      <c r="K191" s="117"/>
      <c r="L191" s="120"/>
      <c r="M191" s="117"/>
      <c r="N191" s="120"/>
      <c r="O191" s="120"/>
      <c r="P191" s="117"/>
      <c r="Q191" s="121"/>
      <c r="R191" s="121"/>
      <c r="S191" s="121"/>
      <c r="T191" s="121"/>
      <c r="U191" s="121"/>
      <c r="V191" s="122"/>
      <c r="W191" s="122"/>
      <c r="X191" s="122"/>
      <c r="Y191" s="122"/>
      <c r="Z191" s="122"/>
      <c r="AA191" s="117"/>
    </row>
    <row r="192" spans="1:27" s="10" customFormat="1" ht="21" customHeight="1" x14ac:dyDescent="0.25">
      <c r="A192" s="397"/>
      <c r="B192" s="382"/>
      <c r="C192" s="124" t="str">
        <f>+'RVK SVÆDI'!C170</f>
        <v>Suðurfell 4</v>
      </c>
      <c r="D192" s="116">
        <f>+'RVK SVÆDI'!D170</f>
        <v>5</v>
      </c>
      <c r="E192" s="117" t="str">
        <f>+'RVK SVÆDI'!E170</f>
        <v>Breiðholt</v>
      </c>
      <c r="F192" s="117" t="str">
        <f>+'RVK SVÆDI'!F170</f>
        <v>Fellaskóli</v>
      </c>
      <c r="G192" s="118"/>
      <c r="H192" s="118"/>
      <c r="I192" s="118"/>
      <c r="J192" s="119"/>
      <c r="K192" s="117"/>
      <c r="L192" s="120"/>
      <c r="M192" s="117"/>
      <c r="N192" s="120"/>
      <c r="O192" s="120"/>
      <c r="P192" s="117"/>
      <c r="Q192" s="121"/>
      <c r="R192" s="121"/>
      <c r="S192" s="121"/>
      <c r="T192" s="121"/>
      <c r="U192" s="121"/>
      <c r="V192" s="122"/>
      <c r="W192" s="122"/>
      <c r="X192" s="122"/>
      <c r="Y192" s="122"/>
      <c r="Z192" s="122"/>
      <c r="AA192" s="117"/>
    </row>
    <row r="193" spans="1:27" ht="21" customHeight="1" x14ac:dyDescent="0.25">
      <c r="A193" s="397"/>
      <c r="B193" s="382"/>
      <c r="C193" s="7" t="str">
        <f>+'RVK SVÆDI'!C171</f>
        <v>Stekkjarbakki - biodome</v>
      </c>
      <c r="D193" s="8">
        <f>+'RVK SVÆDI'!D171</f>
        <v>2</v>
      </c>
      <c r="E193" s="6" t="str">
        <f>+'RVK SVÆDI'!E171</f>
        <v>Breiðholt</v>
      </c>
      <c r="F193" s="6" t="str">
        <f>+'RVK SVÆDI'!F171</f>
        <v>Fellaskóli</v>
      </c>
      <c r="G193" s="108">
        <v>6600</v>
      </c>
      <c r="H193" s="108">
        <v>0</v>
      </c>
      <c r="I193" s="108">
        <v>0</v>
      </c>
      <c r="J193" s="109">
        <f t="shared" si="90"/>
        <v>6600</v>
      </c>
      <c r="L193" s="112">
        <v>0.5</v>
      </c>
      <c r="M193" s="6">
        <f t="shared" ref="M193:M233" si="112">+L193*12</f>
        <v>6</v>
      </c>
      <c r="N193" s="112">
        <v>24</v>
      </c>
      <c r="O193" s="112">
        <v>16</v>
      </c>
      <c r="P193" s="6">
        <f t="shared" si="98"/>
        <v>58</v>
      </c>
      <c r="Q193" s="113">
        <f>IFERROR(IF(AND((Q$236-$P193)/$M193&gt;0,(Q$236-$P193)/$M193&lt;1),(Q$236-$P193)/$M193,IF((Q$236-$P193)/$M193&gt;0,1,0)),0)</f>
        <v>0</v>
      </c>
      <c r="R193" s="113">
        <f>IFERROR(IF(AND((R$236-$P193)/$M193&gt;0,(R$236-$P193)/$M193&lt;1),(R$236-$P193)/$M193,IF((R$236-$P193)/$M193&gt;0,1,0)),0)</f>
        <v>0</v>
      </c>
      <c r="S193" s="113">
        <f>IFERROR(IF(AND((S$236-$P193)/$M193&gt;0,(S$236-$P193)/$M193&lt;1),(S$236-$P193)/$M193,IF((S$236-$P193)/$M193&gt;0,1,0)),0)</f>
        <v>0</v>
      </c>
      <c r="T193" s="113">
        <f>IFERROR(IF(AND((T$236-$P193)/$M193&gt;0,(T$236-$P193)/$M193&lt;1),(T$236-$P193)/$M193,IF((T$236-$P193)/$M193&gt;0,1,0)),0)</f>
        <v>0</v>
      </c>
      <c r="U193" s="113">
        <f>IFERROR(IF(AND((U$236-$P193)/$M193&gt;0,(U$236-$P193)/$M193&lt;1),(U$236-$P193)/$M193,IF((U$236-$P193)/$M193&gt;0,1,0)),0)</f>
        <v>0</v>
      </c>
      <c r="V193" s="114">
        <f>Q193*($G193-$H193)</f>
        <v>0</v>
      </c>
      <c r="W193" s="114">
        <f>R193*($G193-$H193)-V193</f>
        <v>0</v>
      </c>
      <c r="X193" s="114">
        <f>S193*($G193-$H193)-SUM(V193:W193)</f>
        <v>0</v>
      </c>
      <c r="Y193" s="114">
        <f>T193*($G193-$H193)-SUM(V193:X193)</f>
        <v>0</v>
      </c>
      <c r="Z193" s="114">
        <f>U193*($G193-$H193)-SUM(V193:Y193)</f>
        <v>0</v>
      </c>
    </row>
    <row r="194" spans="1:27" ht="21" customHeight="1" x14ac:dyDescent="0.25">
      <c r="A194" s="397"/>
      <c r="B194" s="382"/>
      <c r="C194" s="7" t="str">
        <f>+'RVK SVÆDI'!C172</f>
        <v>Gufunes I</v>
      </c>
      <c r="D194" s="8">
        <f>+'RVK SVÆDI'!D172</f>
        <v>1</v>
      </c>
      <c r="E194" s="6" t="str">
        <f>+'RVK SVÆDI'!E172</f>
        <v>Grafarvogur</v>
      </c>
      <c r="F194" s="6" t="str">
        <f>+'RVK SVÆDI'!F172</f>
        <v>Borgarskóli</v>
      </c>
      <c r="G194" s="130">
        <v>0</v>
      </c>
      <c r="H194" s="108">
        <v>0</v>
      </c>
      <c r="I194" s="108">
        <v>0</v>
      </c>
      <c r="J194" s="109">
        <f t="shared" si="90"/>
        <v>0</v>
      </c>
      <c r="L194" s="110" t="s">
        <v>305</v>
      </c>
      <c r="M194" s="111"/>
      <c r="N194" s="111"/>
      <c r="O194" s="111"/>
      <c r="P194" s="111"/>
      <c r="Q194" s="111"/>
      <c r="R194" s="111"/>
      <c r="S194" s="111"/>
      <c r="T194" s="111"/>
      <c r="U194" s="111"/>
      <c r="V194" s="108">
        <v>0</v>
      </c>
      <c r="W194" s="108">
        <v>0</v>
      </c>
      <c r="X194" s="108">
        <v>0</v>
      </c>
      <c r="Y194" s="108">
        <v>0</v>
      </c>
      <c r="Z194" s="108">
        <v>0</v>
      </c>
    </row>
    <row r="195" spans="1:27" s="10" customFormat="1" ht="21" customHeight="1" x14ac:dyDescent="0.25">
      <c r="A195" s="397"/>
      <c r="B195" s="382"/>
      <c r="C195" s="124" t="str">
        <f>+'RVK SVÆDI'!C173</f>
        <v>Gufunes I þróun</v>
      </c>
      <c r="D195" s="116">
        <f>+'RVK SVÆDI'!D173</f>
        <v>3</v>
      </c>
      <c r="E195" s="117" t="str">
        <f>+'RVK SVÆDI'!E173</f>
        <v>Grafarvogur</v>
      </c>
      <c r="F195" s="117" t="str">
        <f>+'RVK SVÆDI'!F173</f>
        <v>Borgarskóli</v>
      </c>
      <c r="G195" s="118">
        <v>0</v>
      </c>
      <c r="H195" s="118">
        <v>0</v>
      </c>
      <c r="I195" s="118">
        <v>0</v>
      </c>
      <c r="J195" s="119">
        <f t="shared" ref="J195" si="113">+IF(D195=1,(G195-H195-I195),IF(D195=2,(G195-H195-I195),0))</f>
        <v>0</v>
      </c>
      <c r="K195" s="117"/>
      <c r="L195" s="120"/>
      <c r="M195" s="117"/>
      <c r="N195" s="120"/>
      <c r="O195" s="120"/>
      <c r="P195" s="117"/>
      <c r="Q195" s="121"/>
      <c r="R195" s="121"/>
      <c r="S195" s="121"/>
      <c r="T195" s="121"/>
      <c r="U195" s="121"/>
      <c r="V195" s="122"/>
      <c r="W195" s="122"/>
      <c r="X195" s="122"/>
      <c r="Y195" s="122"/>
      <c r="Z195" s="122"/>
      <c r="AA195" s="117"/>
    </row>
    <row r="196" spans="1:27" ht="21" customHeight="1" x14ac:dyDescent="0.25">
      <c r="A196" s="397"/>
      <c r="B196" s="382"/>
      <c r="C196" s="7" t="str">
        <f>+'RVK SVÆDI'!C174</f>
        <v>Gufunes II</v>
      </c>
      <c r="D196" s="8">
        <f>+'RVK SVÆDI'!D174</f>
        <v>3</v>
      </c>
      <c r="E196" s="6" t="str">
        <f>+'RVK SVÆDI'!E174</f>
        <v>Grafarvogur</v>
      </c>
      <c r="F196" s="6" t="str">
        <f>+'RVK SVÆDI'!F174</f>
        <v>Borgarskóli</v>
      </c>
      <c r="G196" s="108">
        <v>6700</v>
      </c>
      <c r="H196" s="108">
        <v>0</v>
      </c>
      <c r="I196" s="108">
        <v>0</v>
      </c>
      <c r="J196" s="109">
        <f t="shared" si="90"/>
        <v>0</v>
      </c>
      <c r="L196" s="112">
        <v>4</v>
      </c>
      <c r="M196" s="6">
        <f t="shared" si="112"/>
        <v>48</v>
      </c>
      <c r="N196" s="112">
        <v>60</v>
      </c>
      <c r="O196" s="112">
        <v>14</v>
      </c>
      <c r="P196" s="6">
        <f t="shared" si="98"/>
        <v>92</v>
      </c>
      <c r="Q196" s="113">
        <f t="shared" ref="Q196:U197" si="114">IFERROR(IF(AND((Q$236-$P196)/$M196&gt;0,(Q$236-$P196)/$M196&lt;1),(Q$236-$P196)/$M196,IF((Q$236-$P196)/$M196&gt;0,1,0)),0)</f>
        <v>0</v>
      </c>
      <c r="R196" s="113">
        <f t="shared" si="114"/>
        <v>0</v>
      </c>
      <c r="S196" s="113">
        <f t="shared" si="114"/>
        <v>0</v>
      </c>
      <c r="T196" s="113">
        <f t="shared" si="114"/>
        <v>0</v>
      </c>
      <c r="U196" s="113">
        <f t="shared" si="114"/>
        <v>0</v>
      </c>
      <c r="V196" s="114">
        <f>Q196*($G196-$H196)</f>
        <v>0</v>
      </c>
      <c r="W196" s="114">
        <f>R196*($G196-$H196)-V196</f>
        <v>0</v>
      </c>
      <c r="X196" s="114">
        <f>S196*($G196-$H196)-SUM(V196:W196)</f>
        <v>0</v>
      </c>
      <c r="Y196" s="114">
        <f>T196*($G196-$H196)-SUM(V196:X196)</f>
        <v>0</v>
      </c>
      <c r="Z196" s="114">
        <f>U196*($G196-$H196)-SUM(V196:Y196)</f>
        <v>0</v>
      </c>
    </row>
    <row r="197" spans="1:27" ht="21" customHeight="1" x14ac:dyDescent="0.25">
      <c r="A197" s="397"/>
      <c r="B197" s="382"/>
      <c r="C197" s="140" t="str">
        <f>+'RVK SVÆDI'!C175</f>
        <v>Keldur</v>
      </c>
      <c r="D197" s="8">
        <f>+'RVK SVÆDI'!D175</f>
        <v>5</v>
      </c>
      <c r="E197" s="6" t="str">
        <f>+'RVK SVÆDI'!E175</f>
        <v>Grafarvogur</v>
      </c>
      <c r="F197" s="6" t="str">
        <f>+'RVK SVÆDI'!F175</f>
        <v>Húsaskóli</v>
      </c>
      <c r="G197" s="108">
        <f>1500*23</f>
        <v>34500</v>
      </c>
      <c r="H197" s="108">
        <v>0</v>
      </c>
      <c r="I197" s="108">
        <v>0</v>
      </c>
      <c r="J197" s="109">
        <f t="shared" si="90"/>
        <v>0</v>
      </c>
      <c r="L197" s="112">
        <v>14</v>
      </c>
      <c r="M197" s="6">
        <f t="shared" si="112"/>
        <v>168</v>
      </c>
      <c r="N197" s="112">
        <v>48</v>
      </c>
      <c r="O197" s="112">
        <v>14</v>
      </c>
      <c r="P197" s="6">
        <f t="shared" si="98"/>
        <v>80</v>
      </c>
      <c r="Q197" s="113">
        <f t="shared" si="114"/>
        <v>0</v>
      </c>
      <c r="R197" s="113">
        <f t="shared" si="114"/>
        <v>0</v>
      </c>
      <c r="S197" s="113">
        <f t="shared" si="114"/>
        <v>0</v>
      </c>
      <c r="T197" s="113">
        <f t="shared" si="114"/>
        <v>0</v>
      </c>
      <c r="U197" s="113">
        <f t="shared" si="114"/>
        <v>0</v>
      </c>
      <c r="V197" s="114">
        <f>Q197*($G197-$H197)</f>
        <v>0</v>
      </c>
      <c r="W197" s="114">
        <f>R197*($G197-$H197)-V197</f>
        <v>0</v>
      </c>
      <c r="X197" s="114">
        <f>S197*($G197-$H197)-SUM(V197:W197)</f>
        <v>0</v>
      </c>
      <c r="Y197" s="114">
        <f>T197*($G197-$H197)-SUM(V197:X197)</f>
        <v>0</v>
      </c>
      <c r="Z197" s="114">
        <f>U197*($G197-$H197)-SUM(V197:Y197)</f>
        <v>0</v>
      </c>
    </row>
    <row r="198" spans="1:27" s="10" customFormat="1" ht="21" customHeight="1" x14ac:dyDescent="0.25">
      <c r="A198" s="397"/>
      <c r="B198" s="382"/>
      <c r="C198" s="124" t="str">
        <f>+'RVK SVÆDI'!C176</f>
        <v>Foldahverfi-hverfiskjarni</v>
      </c>
      <c r="D198" s="116">
        <f>+'RVK SVÆDI'!D176</f>
        <v>4</v>
      </c>
      <c r="E198" s="117" t="str">
        <f>+'RVK SVÆDI'!E176</f>
        <v>Grafarvogur</v>
      </c>
      <c r="F198" s="117" t="str">
        <f>+'RVK SVÆDI'!F176</f>
        <v>Foldaskóli</v>
      </c>
      <c r="G198" s="118"/>
      <c r="H198" s="118"/>
      <c r="I198" s="118"/>
      <c r="J198" s="119"/>
      <c r="K198" s="117"/>
      <c r="L198" s="120"/>
      <c r="M198" s="117"/>
      <c r="N198" s="120"/>
      <c r="O198" s="120"/>
      <c r="P198" s="117"/>
      <c r="Q198" s="121"/>
      <c r="R198" s="121"/>
      <c r="S198" s="121"/>
      <c r="T198" s="121"/>
      <c r="U198" s="121"/>
      <c r="V198" s="122"/>
      <c r="W198" s="122"/>
      <c r="X198" s="122"/>
      <c r="Y198" s="122"/>
      <c r="Z198" s="122"/>
      <c r="AA198" s="117"/>
    </row>
    <row r="199" spans="1:27" s="10" customFormat="1" ht="21" customHeight="1" x14ac:dyDescent="0.25">
      <c r="A199" s="397"/>
      <c r="B199" s="382"/>
      <c r="C199" s="124" t="str">
        <f>+'RVK SVÆDI'!C177</f>
        <v>Sóleyjarrimi</v>
      </c>
      <c r="D199" s="116">
        <f>+'RVK SVÆDI'!D177</f>
        <v>5</v>
      </c>
      <c r="E199" s="117" t="str">
        <f>+'RVK SVÆDI'!E177</f>
        <v>Grafarvogur</v>
      </c>
      <c r="F199" s="117" t="str">
        <f>+'RVK SVÆDI'!F177</f>
        <v>Rimaskóli</v>
      </c>
      <c r="G199" s="118"/>
      <c r="H199" s="118"/>
      <c r="I199" s="118"/>
      <c r="J199" s="119"/>
      <c r="K199" s="117"/>
      <c r="L199" s="120"/>
      <c r="M199" s="117"/>
      <c r="N199" s="120"/>
      <c r="O199" s="120"/>
      <c r="P199" s="117"/>
      <c r="Q199" s="121"/>
      <c r="R199" s="121"/>
      <c r="S199" s="121"/>
      <c r="T199" s="121"/>
      <c r="U199" s="121"/>
      <c r="V199" s="122"/>
      <c r="W199" s="122"/>
      <c r="X199" s="122"/>
      <c r="Y199" s="122"/>
      <c r="Z199" s="122"/>
      <c r="AA199" s="117"/>
    </row>
    <row r="200" spans="1:27" ht="21" customHeight="1" x14ac:dyDescent="0.25">
      <c r="A200" s="397"/>
      <c r="B200" s="382"/>
      <c r="C200" s="7" t="str">
        <f>+'RVK SVÆDI'!C178</f>
        <v>Spöngin-Móavegur</v>
      </c>
      <c r="D200" s="8">
        <f>+'RVK SVÆDI'!D178</f>
        <v>1</v>
      </c>
      <c r="E200" s="6" t="str">
        <f>+'RVK SVÆDI'!E178</f>
        <v>Grafarvogur</v>
      </c>
      <c r="F200" s="6" t="str">
        <f>+'RVK SVÆDI'!F178</f>
        <v>Borgarskóli</v>
      </c>
      <c r="G200" s="108">
        <v>5000</v>
      </c>
      <c r="H200" s="108">
        <v>0</v>
      </c>
      <c r="I200" s="108">
        <v>0</v>
      </c>
      <c r="J200" s="109">
        <f t="shared" ref="J200" si="115">+IF(D200=1,(G200-H200-I200),IF(D200=2,(G200-H200-I200),0))</f>
        <v>5000</v>
      </c>
      <c r="L200" s="112">
        <v>1</v>
      </c>
      <c r="M200" s="6">
        <f t="shared" ref="M200" si="116">+L200*12</f>
        <v>12</v>
      </c>
      <c r="N200" s="112">
        <v>60</v>
      </c>
      <c r="O200" s="112">
        <v>14</v>
      </c>
      <c r="P200" s="6">
        <f t="shared" ref="P200" si="117">+N200+O200+18</f>
        <v>92</v>
      </c>
      <c r="Q200" s="113">
        <f>IFERROR(IF(AND((Q$236-$P200)/$M200&gt;0,(Q$236-$P200)/$M200&lt;1),(Q$236-$P200)/$M200,IF((Q$236-$P200)/$M200&gt;0,1,0)),0)</f>
        <v>0</v>
      </c>
      <c r="R200" s="113">
        <f>IFERROR(IF(AND((R$236-$P200)/$M200&gt;0,(R$236-$P200)/$M200&lt;1),(R$236-$P200)/$M200,IF((R$236-$P200)/$M200&gt;0,1,0)),0)</f>
        <v>0</v>
      </c>
      <c r="S200" s="113">
        <f>IFERROR(IF(AND((S$236-$P200)/$M200&gt;0,(S$236-$P200)/$M200&lt;1),(S$236-$P200)/$M200,IF((S$236-$P200)/$M200&gt;0,1,0)),0)</f>
        <v>0</v>
      </c>
      <c r="T200" s="113">
        <f>IFERROR(IF(AND((T$236-$P200)/$M200&gt;0,(T$236-$P200)/$M200&lt;1),(T$236-$P200)/$M200,IF((T$236-$P200)/$M200&gt;0,1,0)),0)</f>
        <v>0</v>
      </c>
      <c r="U200" s="113">
        <f>IFERROR(IF(AND((U$236-$P200)/$M200&gt;0,(U$236-$P200)/$M200&lt;1),(U$236-$P200)/$M200,IF((U$236-$P200)/$M200&gt;0,1,0)),0)</f>
        <v>0</v>
      </c>
      <c r="V200" s="114">
        <f t="shared" ref="V200" si="118">Q200*($G200-$H200)</f>
        <v>0</v>
      </c>
      <c r="W200" s="114">
        <f t="shared" ref="W200" si="119">R200*($G200-$H200)-V200</f>
        <v>0</v>
      </c>
      <c r="X200" s="114">
        <f t="shared" ref="X200" si="120">S200*($G200-$H200)-SUM(V200:W200)</f>
        <v>0</v>
      </c>
      <c r="Y200" s="114">
        <f t="shared" ref="Y200" si="121">T200*($G200-$H200)-SUM(V200:X200)</f>
        <v>0</v>
      </c>
      <c r="Z200" s="114">
        <f t="shared" ref="Z200" si="122">U200*($G200-$H200)-SUM(V200:Y200)</f>
        <v>0</v>
      </c>
    </row>
    <row r="201" spans="1:27" s="10" customFormat="1" ht="21" customHeight="1" x14ac:dyDescent="0.25">
      <c r="A201" s="397"/>
      <c r="B201" s="382"/>
      <c r="C201" s="124" t="str">
        <f>+'RVK SVÆDI'!C179</f>
        <v>Borgarholtsreitur</v>
      </c>
      <c r="D201" s="116">
        <f>+'RVK SVÆDI'!D179</f>
        <v>4</v>
      </c>
      <c r="E201" s="117" t="str">
        <f>+'RVK SVÆDI'!E179</f>
        <v>Grafarvogur</v>
      </c>
      <c r="F201" s="117" t="str">
        <f>+'RVK SVÆDI'!F179</f>
        <v>Engjaskóli</v>
      </c>
      <c r="G201" s="118"/>
      <c r="H201" s="118"/>
      <c r="I201" s="118"/>
      <c r="J201" s="119"/>
      <c r="K201" s="117"/>
      <c r="L201" s="120"/>
      <c r="M201" s="117"/>
      <c r="N201" s="120"/>
      <c r="O201" s="120"/>
      <c r="P201" s="117"/>
      <c r="Q201" s="121"/>
      <c r="R201" s="121"/>
      <c r="S201" s="121"/>
      <c r="T201" s="121"/>
      <c r="U201" s="121"/>
      <c r="V201" s="122"/>
      <c r="W201" s="122"/>
      <c r="X201" s="122"/>
      <c r="Y201" s="122"/>
      <c r="Z201" s="122"/>
      <c r="AA201" s="117"/>
    </row>
    <row r="202" spans="1:27" s="10" customFormat="1" ht="21" customHeight="1" x14ac:dyDescent="0.25">
      <c r="A202" s="397"/>
      <c r="B202" s="382"/>
      <c r="C202" s="124" t="str">
        <f>+'RVK SVÆDI'!C180</f>
        <v>Fjallkonuvegur 1 (B)</v>
      </c>
      <c r="D202" s="116">
        <f>+'RVK SVÆDI'!D180</f>
        <v>5</v>
      </c>
      <c r="E202" s="117" t="str">
        <f>+'RVK SVÆDI'!E180</f>
        <v>Grafarvogur</v>
      </c>
      <c r="F202" s="117" t="str">
        <f>+'RVK SVÆDI'!F180</f>
        <v>Foldaskóli</v>
      </c>
      <c r="G202" s="118"/>
      <c r="H202" s="118"/>
      <c r="I202" s="118"/>
      <c r="J202" s="119"/>
      <c r="K202" s="117"/>
      <c r="L202" s="120"/>
      <c r="M202" s="117"/>
      <c r="N202" s="120"/>
      <c r="O202" s="120"/>
      <c r="P202" s="117"/>
      <c r="Q202" s="121"/>
      <c r="R202" s="121"/>
      <c r="S202" s="121"/>
      <c r="T202" s="121"/>
      <c r="U202" s="121"/>
      <c r="V202" s="122"/>
      <c r="W202" s="122"/>
      <c r="X202" s="122"/>
      <c r="Y202" s="122"/>
      <c r="Z202" s="122"/>
      <c r="AA202" s="117"/>
    </row>
    <row r="203" spans="1:27" ht="21" customHeight="1" x14ac:dyDescent="0.25">
      <c r="A203" s="397"/>
      <c r="B203" s="382"/>
      <c r="C203" s="7" t="str">
        <f>+'RVK SVÆDI'!C181</f>
        <v>Korpa I-Egilshöll</v>
      </c>
      <c r="D203" s="8">
        <f>+'RVK SVÆDI'!D181</f>
        <v>5</v>
      </c>
      <c r="E203" s="6" t="str">
        <f>+'RVK SVÆDI'!E181</f>
        <v>Grafarvogur</v>
      </c>
      <c r="F203" s="6" t="str">
        <f>+'RVK SVÆDI'!F181</f>
        <v>Staðarskóli</v>
      </c>
      <c r="G203" s="108">
        <v>0</v>
      </c>
      <c r="H203" s="108">
        <v>0</v>
      </c>
      <c r="I203" s="108">
        <v>0</v>
      </c>
      <c r="J203" s="109">
        <f t="shared" ref="J203:J234" si="123">+IF(D203=1,(G203-H203-I203),IF(D203=2,(G203-H203-I203),0))</f>
        <v>0</v>
      </c>
      <c r="L203" s="112">
        <v>2</v>
      </c>
      <c r="M203" s="6">
        <f t="shared" si="112"/>
        <v>24</v>
      </c>
      <c r="N203" s="112">
        <v>60</v>
      </c>
      <c r="O203" s="112">
        <v>14</v>
      </c>
      <c r="P203" s="6">
        <f t="shared" si="98"/>
        <v>92</v>
      </c>
      <c r="Q203" s="113">
        <f t="shared" ref="Q203:U205" si="124">IFERROR(IF(AND((Q$236-$P203)/$M203&gt;0,(Q$236-$P203)/$M203&lt;1),(Q$236-$P203)/$M203,IF((Q$236-$P203)/$M203&gt;0,1,0)),0)</f>
        <v>0</v>
      </c>
      <c r="R203" s="113">
        <f t="shared" si="124"/>
        <v>0</v>
      </c>
      <c r="S203" s="113">
        <f t="shared" si="124"/>
        <v>0</v>
      </c>
      <c r="T203" s="113">
        <f t="shared" si="124"/>
        <v>0</v>
      </c>
      <c r="U203" s="113">
        <f t="shared" si="124"/>
        <v>0</v>
      </c>
      <c r="V203" s="114">
        <f>Q203*($G203-$H203)</f>
        <v>0</v>
      </c>
      <c r="W203" s="114">
        <f>R203*($G203-$H203)-V203</f>
        <v>0</v>
      </c>
      <c r="X203" s="114">
        <f>S203*($G203-$H203)-SUM(V203:W203)</f>
        <v>0</v>
      </c>
      <c r="Y203" s="114">
        <f>T203*($G203-$H203)-SUM(V203:X203)</f>
        <v>0</v>
      </c>
      <c r="Z203" s="114">
        <f>U203*($G203-$H203)-SUM(V203:Y203)</f>
        <v>0</v>
      </c>
    </row>
    <row r="204" spans="1:27" ht="21" customHeight="1" x14ac:dyDescent="0.25">
      <c r="A204" s="397"/>
      <c r="B204" s="382"/>
      <c r="C204" s="7" t="str">
        <f>+'RVK SVÆDI'!C182</f>
        <v>Korpa II-Korpúlfsstaðir</v>
      </c>
      <c r="D204" s="8">
        <f>+'RVK SVÆDI'!D182</f>
        <v>5</v>
      </c>
      <c r="E204" s="6" t="str">
        <f>+'RVK SVÆDI'!E182</f>
        <v>Grafarvogur</v>
      </c>
      <c r="F204" s="6" t="str">
        <f>+'RVK SVÆDI'!F182</f>
        <v>Staðarskóli</v>
      </c>
      <c r="G204" s="108">
        <v>0</v>
      </c>
      <c r="H204" s="108">
        <v>0</v>
      </c>
      <c r="I204" s="108">
        <v>0</v>
      </c>
      <c r="J204" s="109">
        <f t="shared" si="123"/>
        <v>0</v>
      </c>
      <c r="K204" s="7"/>
      <c r="L204" s="112">
        <v>6</v>
      </c>
      <c r="M204" s="6">
        <f t="shared" si="112"/>
        <v>72</v>
      </c>
      <c r="N204" s="112">
        <v>60</v>
      </c>
      <c r="O204" s="112">
        <v>14</v>
      </c>
      <c r="P204" s="6">
        <f t="shared" si="98"/>
        <v>92</v>
      </c>
      <c r="Q204" s="113">
        <f t="shared" si="124"/>
        <v>0</v>
      </c>
      <c r="R204" s="113">
        <f t="shared" si="124"/>
        <v>0</v>
      </c>
      <c r="S204" s="113">
        <f t="shared" si="124"/>
        <v>0</v>
      </c>
      <c r="T204" s="113">
        <f t="shared" si="124"/>
        <v>0</v>
      </c>
      <c r="U204" s="113">
        <f t="shared" si="124"/>
        <v>0</v>
      </c>
      <c r="V204" s="114">
        <f>Q204*($G204-$H204)</f>
        <v>0</v>
      </c>
      <c r="W204" s="114">
        <f>R204*($G204-$H204)-V204</f>
        <v>0</v>
      </c>
      <c r="X204" s="114">
        <f>S204*($G204-$H204)-SUM(V204:W204)</f>
        <v>0</v>
      </c>
      <c r="Y204" s="114">
        <f>T204*($G204-$H204)-SUM(V204:X204)</f>
        <v>0</v>
      </c>
      <c r="Z204" s="114">
        <f>U204*($G204-$H204)-SUM(V204:Y204)</f>
        <v>0</v>
      </c>
    </row>
    <row r="205" spans="1:27" ht="21" customHeight="1" x14ac:dyDescent="0.25">
      <c r="A205" s="397"/>
      <c r="B205" s="382"/>
      <c r="C205" s="7" t="str">
        <f>+'RVK SVÆDI'!C183</f>
        <v>Korpa III-Korpa (Korputorg)</v>
      </c>
      <c r="D205" s="8">
        <f>+'RVK SVÆDI'!D183</f>
        <v>4</v>
      </c>
      <c r="E205" s="6" t="str">
        <f>+'RVK SVÆDI'!E183</f>
        <v>Grafarvogur</v>
      </c>
      <c r="F205" s="6" t="str">
        <f>+'RVK SVÆDI'!F183</f>
        <v>Staðarskóli</v>
      </c>
      <c r="G205" s="108">
        <v>25000</v>
      </c>
      <c r="H205" s="108">
        <v>0</v>
      </c>
      <c r="I205" s="108">
        <v>0</v>
      </c>
      <c r="J205" s="109">
        <f t="shared" si="123"/>
        <v>0</v>
      </c>
      <c r="L205" s="112">
        <v>8</v>
      </c>
      <c r="M205" s="6">
        <f t="shared" si="112"/>
        <v>96</v>
      </c>
      <c r="N205" s="112">
        <v>60</v>
      </c>
      <c r="O205" s="112">
        <v>14</v>
      </c>
      <c r="P205" s="6">
        <f t="shared" si="98"/>
        <v>92</v>
      </c>
      <c r="Q205" s="113">
        <f t="shared" si="124"/>
        <v>0</v>
      </c>
      <c r="R205" s="113">
        <f t="shared" si="124"/>
        <v>0</v>
      </c>
      <c r="S205" s="113">
        <f t="shared" si="124"/>
        <v>0</v>
      </c>
      <c r="T205" s="113">
        <f t="shared" si="124"/>
        <v>0</v>
      </c>
      <c r="U205" s="113">
        <f t="shared" si="124"/>
        <v>0</v>
      </c>
      <c r="V205" s="114">
        <f>Q205*($G205-$H205)</f>
        <v>0</v>
      </c>
      <c r="W205" s="114">
        <f>R205*($G205-$H205)-V205</f>
        <v>0</v>
      </c>
      <c r="X205" s="114">
        <f>S205*($G205-$H205)-SUM(V205:W205)</f>
        <v>0</v>
      </c>
      <c r="Y205" s="114">
        <f>T205*($G205-$H205)-SUM(V205:X205)</f>
        <v>0</v>
      </c>
      <c r="Z205" s="114">
        <f>U205*($G205-$H205)-SUM(V205:Y205)</f>
        <v>0</v>
      </c>
    </row>
    <row r="206" spans="1:27" ht="21" customHeight="1" x14ac:dyDescent="0.25">
      <c r="A206" s="397"/>
      <c r="B206" s="382"/>
      <c r="C206" s="7" t="str">
        <f>+'RVK SVÆDI'!C184</f>
        <v>Gylfaflöt</v>
      </c>
      <c r="D206" s="8">
        <f>+'RVK SVÆDI'!D184</f>
        <v>2</v>
      </c>
      <c r="E206" s="6" t="str">
        <f>+'RVK SVÆDI'!E184</f>
        <v>Grafarvogur</v>
      </c>
      <c r="F206" s="6">
        <f>+'RVK SVÆDI'!F184</f>
        <v>0</v>
      </c>
      <c r="G206" s="130">
        <v>11000</v>
      </c>
      <c r="H206" s="130">
        <f>3512+3575</f>
        <v>7087</v>
      </c>
      <c r="I206" s="130">
        <v>0</v>
      </c>
      <c r="J206" s="109">
        <f t="shared" si="123"/>
        <v>3913</v>
      </c>
      <c r="L206" s="110" t="s">
        <v>305</v>
      </c>
      <c r="M206" s="111"/>
      <c r="N206" s="111"/>
      <c r="O206" s="111"/>
      <c r="P206" s="111"/>
      <c r="Q206" s="111"/>
      <c r="R206" s="111"/>
      <c r="S206" s="111"/>
      <c r="T206" s="111"/>
      <c r="U206" s="111"/>
      <c r="V206" s="108">
        <v>0</v>
      </c>
      <c r="W206" s="108">
        <v>3575</v>
      </c>
      <c r="X206" s="108">
        <v>0</v>
      </c>
      <c r="Y206" s="108">
        <v>0</v>
      </c>
      <c r="Z206" s="108">
        <v>3900</v>
      </c>
    </row>
    <row r="207" spans="1:27" ht="21" customHeight="1" x14ac:dyDescent="0.25">
      <c r="A207" s="397"/>
      <c r="B207" s="382"/>
      <c r="C207" t="str">
        <f>+'RVK SVÆDI'!C185</f>
        <v>Fossaleynir M10</v>
      </c>
      <c r="D207" s="8">
        <f>+'RVK SVÆDI'!D185</f>
        <v>2</v>
      </c>
      <c r="E207" s="1" t="str">
        <f>+'RVK SVÆDI'!E185</f>
        <v>Grafarvogur</v>
      </c>
      <c r="F207" s="1">
        <f>+'RVK SVÆDI'!F185</f>
        <v>0</v>
      </c>
      <c r="G207" s="108">
        <v>7500</v>
      </c>
      <c r="H207" s="108">
        <v>0</v>
      </c>
      <c r="I207" s="108">
        <v>0</v>
      </c>
      <c r="J207" s="109">
        <f t="shared" si="123"/>
        <v>7500</v>
      </c>
      <c r="L207" s="141">
        <v>3</v>
      </c>
      <c r="M207" s="6">
        <f t="shared" si="112"/>
        <v>36</v>
      </c>
      <c r="N207" s="112">
        <v>24</v>
      </c>
      <c r="O207" s="112">
        <v>14</v>
      </c>
      <c r="P207" s="6">
        <f t="shared" si="98"/>
        <v>56</v>
      </c>
      <c r="Q207" s="113">
        <f t="shared" ref="Q207:U210" si="125">IFERROR(IF(AND((Q$236-$P207)/$M207&gt;0,(Q$236-$P207)/$M207&lt;1),(Q$236-$P207)/$M207,IF((Q$236-$P207)/$M207&gt;0,1,0)),0)</f>
        <v>0</v>
      </c>
      <c r="R207" s="113">
        <f t="shared" si="125"/>
        <v>0</v>
      </c>
      <c r="S207" s="113">
        <f t="shared" si="125"/>
        <v>0</v>
      </c>
      <c r="T207" s="113">
        <f t="shared" si="125"/>
        <v>0</v>
      </c>
      <c r="U207" s="113">
        <f t="shared" si="125"/>
        <v>0</v>
      </c>
      <c r="V207" s="114">
        <f>Q207*($G207-$H207)</f>
        <v>0</v>
      </c>
      <c r="W207" s="114">
        <f>R207*($G207-$H207)-V207</f>
        <v>0</v>
      </c>
      <c r="X207" s="114">
        <f>S207*($G207-$H207)-SUM(V207:W207)</f>
        <v>0</v>
      </c>
      <c r="Y207" s="114">
        <f>T207*($G207-$H207)-SUM(V207:X207)</f>
        <v>0</v>
      </c>
      <c r="Z207" s="114">
        <f>U207*($G207-$H207)-SUM(V207:Y207)</f>
        <v>0</v>
      </c>
    </row>
    <row r="208" spans="1:27" ht="21" customHeight="1" x14ac:dyDescent="0.25">
      <c r="A208" s="397"/>
      <c r="B208" s="382"/>
      <c r="C208" t="str">
        <f>+'RVK SVÆDI'!C186</f>
        <v>Höfðar M4b</v>
      </c>
      <c r="D208" s="8">
        <f>+'RVK SVÆDI'!D186</f>
        <v>1</v>
      </c>
      <c r="E208" s="1" t="str">
        <f>+'RVK SVÆDI'!E186</f>
        <v>Grafarvogur</v>
      </c>
      <c r="F208" s="1">
        <f>+'RVK SVÆDI'!F186</f>
        <v>0</v>
      </c>
      <c r="G208" s="108">
        <v>70000</v>
      </c>
      <c r="H208" s="108">
        <v>0</v>
      </c>
      <c r="I208" s="108">
        <v>0</v>
      </c>
      <c r="J208" s="109">
        <f t="shared" si="123"/>
        <v>70000</v>
      </c>
      <c r="L208" s="141">
        <v>10</v>
      </c>
      <c r="M208" s="6">
        <f t="shared" si="112"/>
        <v>120</v>
      </c>
      <c r="N208" s="112">
        <v>48</v>
      </c>
      <c r="O208" s="112">
        <v>14</v>
      </c>
      <c r="P208" s="6">
        <f t="shared" si="98"/>
        <v>80</v>
      </c>
      <c r="Q208" s="113">
        <f t="shared" si="125"/>
        <v>0</v>
      </c>
      <c r="R208" s="113">
        <f t="shared" si="125"/>
        <v>0</v>
      </c>
      <c r="S208" s="113">
        <f t="shared" si="125"/>
        <v>0</v>
      </c>
      <c r="T208" s="113">
        <f t="shared" si="125"/>
        <v>0</v>
      </c>
      <c r="U208" s="113">
        <f t="shared" si="125"/>
        <v>0</v>
      </c>
      <c r="V208" s="114">
        <f>Q208*($G208-$H208)</f>
        <v>0</v>
      </c>
      <c r="W208" s="114">
        <f>R208*($G208-$H208)-V208</f>
        <v>0</v>
      </c>
      <c r="X208" s="114">
        <f>S208*($G208-$H208)-SUM(V208:W208)</f>
        <v>0</v>
      </c>
      <c r="Y208" s="114">
        <f>T208*($G208-$H208)-SUM(V208:X208)</f>
        <v>0</v>
      </c>
      <c r="Z208" s="114">
        <f>U208*($G208-$H208)-SUM(V208:Y208)</f>
        <v>0</v>
      </c>
    </row>
    <row r="209" spans="1:27" ht="21" customHeight="1" x14ac:dyDescent="0.25">
      <c r="A209" s="397"/>
      <c r="B209" s="382"/>
      <c r="C209" s="372" t="str">
        <f>+'RVK SVÆDI'!C187</f>
        <v>Keldur M4c</v>
      </c>
      <c r="D209" s="8">
        <f>+'RVK SVÆDI'!D187</f>
        <v>4</v>
      </c>
      <c r="E209" s="1" t="str">
        <f>+'RVK SVÆDI'!E187</f>
        <v>Grafarvogur</v>
      </c>
      <c r="F209" s="1">
        <f>+'RVK SVÆDI'!F187</f>
        <v>0</v>
      </c>
      <c r="G209" s="108">
        <v>50000</v>
      </c>
      <c r="H209" s="108">
        <v>0</v>
      </c>
      <c r="I209" s="108">
        <v>0</v>
      </c>
      <c r="J209" s="109">
        <f t="shared" si="123"/>
        <v>0</v>
      </c>
      <c r="L209" s="141">
        <v>16</v>
      </c>
      <c r="M209" s="6">
        <f t="shared" si="112"/>
        <v>192</v>
      </c>
      <c r="N209" s="112">
        <v>60</v>
      </c>
      <c r="O209" s="112">
        <v>14</v>
      </c>
      <c r="P209" s="6">
        <f t="shared" si="98"/>
        <v>92</v>
      </c>
      <c r="Q209" s="113">
        <f t="shared" si="125"/>
        <v>0</v>
      </c>
      <c r="R209" s="113">
        <f t="shared" si="125"/>
        <v>0</v>
      </c>
      <c r="S209" s="113">
        <f t="shared" si="125"/>
        <v>0</v>
      </c>
      <c r="T209" s="113">
        <f t="shared" si="125"/>
        <v>0</v>
      </c>
      <c r="U209" s="113">
        <f t="shared" si="125"/>
        <v>0</v>
      </c>
      <c r="V209" s="114">
        <f>Q209*($G209-$H209)</f>
        <v>0</v>
      </c>
      <c r="W209" s="114">
        <f>R209*($G209-$H209)-V209</f>
        <v>0</v>
      </c>
      <c r="X209" s="114">
        <f>S209*($G209-$H209)-SUM(V209:W209)</f>
        <v>0</v>
      </c>
      <c r="Y209" s="114">
        <f>T209*($G209-$H209)-SUM(V209:X209)</f>
        <v>0</v>
      </c>
      <c r="Z209" s="114">
        <f>U209*($G209-$H209)-SUM(V209:Y209)</f>
        <v>0</v>
      </c>
    </row>
    <row r="210" spans="1:27" ht="21" customHeight="1" x14ac:dyDescent="0.25">
      <c r="A210" s="397"/>
      <c r="B210" s="382"/>
      <c r="C210" s="372" t="str">
        <f>+'RVK SVÆDI'!C188</f>
        <v>Keldur M4d</v>
      </c>
      <c r="D210" s="8">
        <f>+'RVK SVÆDI'!D188</f>
        <v>4</v>
      </c>
      <c r="E210" s="1" t="str">
        <f>+'RVK SVÆDI'!E188</f>
        <v>Grafarvogur</v>
      </c>
      <c r="F210" s="1">
        <f>+'RVK SVÆDI'!F188</f>
        <v>0</v>
      </c>
      <c r="G210" s="108">
        <v>100000</v>
      </c>
      <c r="H210" s="108">
        <v>0</v>
      </c>
      <c r="I210" s="108">
        <v>0</v>
      </c>
      <c r="J210" s="109">
        <f t="shared" si="123"/>
        <v>0</v>
      </c>
      <c r="L210" s="112">
        <v>20</v>
      </c>
      <c r="M210" s="6">
        <f t="shared" si="112"/>
        <v>240</v>
      </c>
      <c r="N210" s="112">
        <v>120</v>
      </c>
      <c r="O210" s="112">
        <v>14</v>
      </c>
      <c r="P210" s="6">
        <f t="shared" si="98"/>
        <v>152</v>
      </c>
      <c r="Q210" s="113">
        <f t="shared" si="125"/>
        <v>0</v>
      </c>
      <c r="R210" s="113">
        <f t="shared" si="125"/>
        <v>0</v>
      </c>
      <c r="S210" s="113">
        <f t="shared" si="125"/>
        <v>0</v>
      </c>
      <c r="T210" s="113">
        <f t="shared" si="125"/>
        <v>0</v>
      </c>
      <c r="U210" s="113">
        <f t="shared" si="125"/>
        <v>0</v>
      </c>
      <c r="V210" s="114">
        <f>Q210*($G210-$H210)</f>
        <v>0</v>
      </c>
      <c r="W210" s="114">
        <f>R210*($G210-$H210)-V210</f>
        <v>0</v>
      </c>
      <c r="X210" s="114">
        <f>S210*($G210-$H210)-SUM(V210:W210)</f>
        <v>0</v>
      </c>
      <c r="Y210" s="114">
        <f>T210*($G210-$H210)-SUM(V210:X210)</f>
        <v>0</v>
      </c>
      <c r="Z210" s="114">
        <f>U210*($G210-$H210)-SUM(V210:Y210)</f>
        <v>0</v>
      </c>
    </row>
    <row r="211" spans="1:27" s="10" customFormat="1" ht="21" customHeight="1" x14ac:dyDescent="0.25">
      <c r="A211" s="397"/>
      <c r="B211" s="382"/>
      <c r="C211" s="124" t="str">
        <f>+'RVK SVÆDI'!C189</f>
        <v>Grafarholt-þétting byggðar (Klausturstígur-Kapellustígur)</v>
      </c>
      <c r="D211" s="116">
        <f>+'RVK SVÆDI'!D189</f>
        <v>1</v>
      </c>
      <c r="E211" s="117" t="str">
        <f>+'RVK SVÆDI'!E189</f>
        <v>Úlfarsárdalur</v>
      </c>
      <c r="F211" s="117" t="str">
        <f>+'RVK SVÆDI'!F189</f>
        <v>Sæmundarskóli</v>
      </c>
      <c r="G211" s="118"/>
      <c r="H211" s="118"/>
      <c r="I211" s="118"/>
      <c r="J211" s="119"/>
      <c r="K211" s="117"/>
      <c r="L211" s="120"/>
      <c r="M211" s="117"/>
      <c r="N211" s="120"/>
      <c r="O211" s="120"/>
      <c r="P211" s="117"/>
      <c r="Q211" s="121"/>
      <c r="R211" s="121"/>
      <c r="S211" s="121"/>
      <c r="T211" s="121"/>
      <c r="U211" s="121"/>
      <c r="V211" s="122"/>
      <c r="W211" s="122"/>
      <c r="X211" s="122"/>
      <c r="Y211" s="122"/>
      <c r="Z211" s="122"/>
      <c r="AA211" s="117"/>
    </row>
    <row r="212" spans="1:27" ht="21" customHeight="1" x14ac:dyDescent="0.25">
      <c r="A212" s="397"/>
      <c r="B212" s="382"/>
      <c r="C212" t="str">
        <f>+'RVK SVÆDI'!C190</f>
        <v>Grafarholt-þétting byggðar (M9 og hverfiskj.)</v>
      </c>
      <c r="D212" s="8">
        <f>+'RVK SVÆDI'!D190</f>
        <v>4</v>
      </c>
      <c r="E212" s="1" t="str">
        <f>+'RVK SVÆDI'!E190</f>
        <v>Úlfarsárdalur</v>
      </c>
      <c r="F212" s="1" t="str">
        <f>+'RVK SVÆDI'!F190</f>
        <v>Ingunnarskóli</v>
      </c>
      <c r="G212" s="108">
        <v>5000</v>
      </c>
      <c r="H212" s="108">
        <v>0</v>
      </c>
      <c r="I212" s="108">
        <v>0</v>
      </c>
      <c r="J212" s="109">
        <f t="shared" ref="J212" si="126">+IF(D212=1,(G212-H212-I212),IF(D212=2,(G212-H212-I212),0))</f>
        <v>0</v>
      </c>
      <c r="L212" s="112">
        <v>1.5</v>
      </c>
      <c r="M212" s="6">
        <f t="shared" ref="M212" si="127">+L212*12</f>
        <v>18</v>
      </c>
      <c r="N212" s="112">
        <v>60</v>
      </c>
      <c r="O212" s="112">
        <v>14</v>
      </c>
      <c r="P212" s="6">
        <f t="shared" ref="P212" si="128">+N212+O212+18</f>
        <v>92</v>
      </c>
      <c r="Q212" s="113">
        <f>IFERROR(IF(AND((Q$236-$P212)/$M212&gt;0,(Q$236-$P212)/$M212&lt;1),(Q$236-$P212)/$M212,IF((Q$236-$P212)/$M212&gt;0,1,0)),0)</f>
        <v>0</v>
      </c>
      <c r="R212" s="113">
        <f>IFERROR(IF(AND((R$236-$P212)/$M212&gt;0,(R$236-$P212)/$M212&lt;1),(R$236-$P212)/$M212,IF((R$236-$P212)/$M212&gt;0,1,0)),0)</f>
        <v>0</v>
      </c>
      <c r="S212" s="113">
        <f>IFERROR(IF(AND((S$236-$P212)/$M212&gt;0,(S$236-$P212)/$M212&lt;1),(S$236-$P212)/$M212,IF((S$236-$P212)/$M212&gt;0,1,0)),0)</f>
        <v>0</v>
      </c>
      <c r="T212" s="113">
        <f>IFERROR(IF(AND((T$236-$P212)/$M212&gt;0,(T$236-$P212)/$M212&lt;1),(T$236-$P212)/$M212,IF((T$236-$P212)/$M212&gt;0,1,0)),0)</f>
        <v>0</v>
      </c>
      <c r="U212" s="113">
        <f>IFERROR(IF(AND((U$236-$P212)/$M212&gt;0,(U$236-$P212)/$M212&lt;1),(U$236-$P212)/$M212,IF((U$236-$P212)/$M212&gt;0,1,0)),0)</f>
        <v>0</v>
      </c>
      <c r="V212" s="114">
        <f t="shared" ref="V212" si="129">Q212*($G212-$H212)</f>
        <v>0</v>
      </c>
      <c r="W212" s="114">
        <f t="shared" ref="W212" si="130">R212*($G212-$H212)-V212</f>
        <v>0</v>
      </c>
      <c r="X212" s="114">
        <f t="shared" ref="X212" si="131">S212*($G212-$H212)-SUM(V212:W212)</f>
        <v>0</v>
      </c>
      <c r="Y212" s="114">
        <f t="shared" ref="Y212" si="132">T212*($G212-$H212)-SUM(V212:X212)</f>
        <v>0</v>
      </c>
      <c r="Z212" s="114">
        <f t="shared" ref="Z212" si="133">U212*($G212-$H212)-SUM(V212:Y212)</f>
        <v>0</v>
      </c>
    </row>
    <row r="213" spans="1:27" s="10" customFormat="1" ht="21" customHeight="1" x14ac:dyDescent="0.25">
      <c r="A213" s="397"/>
      <c r="B213" s="382"/>
      <c r="C213" s="124" t="str">
        <f>+'RVK SVÆDI'!C191</f>
        <v>Reynisvatnsás</v>
      </c>
      <c r="D213" s="116">
        <f>+'RVK SVÆDI'!D191</f>
        <v>1</v>
      </c>
      <c r="E213" s="117" t="str">
        <f>+'RVK SVÆDI'!E191</f>
        <v>Úlfarsárdalur</v>
      </c>
      <c r="F213" s="117" t="str">
        <f>+'RVK SVÆDI'!F191</f>
        <v>Sæmundarskóli</v>
      </c>
      <c r="G213" s="118"/>
      <c r="H213" s="118"/>
      <c r="I213" s="118"/>
      <c r="J213" s="119"/>
      <c r="K213" s="117"/>
      <c r="L213" s="120"/>
      <c r="M213" s="117"/>
      <c r="N213" s="120"/>
      <c r="O213" s="120"/>
      <c r="P213" s="117"/>
      <c r="Q213" s="121"/>
      <c r="R213" s="121"/>
      <c r="S213" s="121"/>
      <c r="T213" s="121"/>
      <c r="U213" s="121"/>
      <c r="V213" s="122"/>
      <c r="W213" s="122"/>
      <c r="X213" s="122"/>
      <c r="Y213" s="122"/>
      <c r="Z213" s="122"/>
      <c r="AA213" s="117"/>
    </row>
    <row r="214" spans="1:27" s="10" customFormat="1" ht="21" customHeight="1" x14ac:dyDescent="0.25">
      <c r="A214" s="397"/>
      <c r="B214" s="382"/>
      <c r="C214" s="124" t="str">
        <f>+'RVK SVÆDI'!C192</f>
        <v>Úlfarsárdalur - núverandi hverfi (þ.m.t aukaíbúðir)</v>
      </c>
      <c r="D214" s="116">
        <f>+'RVK SVÆDI'!D192</f>
        <v>1</v>
      </c>
      <c r="E214" s="117" t="str">
        <f>+'RVK SVÆDI'!E192</f>
        <v>Úlfarsárdalur</v>
      </c>
      <c r="F214" s="117" t="str">
        <f>+'RVK SVÆDI'!F192</f>
        <v>Dalskóli</v>
      </c>
      <c r="G214" s="118"/>
      <c r="H214" s="118"/>
      <c r="I214" s="118"/>
      <c r="J214" s="119"/>
      <c r="K214" s="117"/>
      <c r="L214" s="120"/>
      <c r="M214" s="117"/>
      <c r="N214" s="120"/>
      <c r="O214" s="120"/>
      <c r="P214" s="117"/>
      <c r="Q214" s="121"/>
      <c r="R214" s="121"/>
      <c r="S214" s="121"/>
      <c r="T214" s="121"/>
      <c r="U214" s="121"/>
      <c r="V214" s="122"/>
      <c r="W214" s="122"/>
      <c r="X214" s="122"/>
      <c r="Y214" s="122"/>
      <c r="Z214" s="122"/>
      <c r="AA214" s="117"/>
    </row>
    <row r="215" spans="1:27" s="10" customFormat="1" ht="21" customHeight="1" x14ac:dyDescent="0.25">
      <c r="A215" s="397"/>
      <c r="B215" s="382"/>
      <c r="C215" s="124" t="str">
        <f>+'RVK SVÆDI'!C193</f>
        <v>Úlfarsárdalur - Leirtjörn</v>
      </c>
      <c r="D215" s="116">
        <f>+'RVK SVÆDI'!D193</f>
        <v>1</v>
      </c>
      <c r="E215" s="117" t="str">
        <f>+'RVK SVÆDI'!E193</f>
        <v>Úlfarsárdalur</v>
      </c>
      <c r="F215" s="117" t="str">
        <f>+'RVK SVÆDI'!F193</f>
        <v>Dalskóli</v>
      </c>
      <c r="G215" s="118"/>
      <c r="H215" s="118"/>
      <c r="I215" s="118"/>
      <c r="J215" s="119"/>
      <c r="K215" s="117"/>
      <c r="L215" s="120"/>
      <c r="M215" s="117"/>
      <c r="N215" s="120"/>
      <c r="O215" s="120"/>
      <c r="P215" s="117"/>
      <c r="Q215" s="121"/>
      <c r="R215" s="121"/>
      <c r="S215" s="121"/>
      <c r="T215" s="121"/>
      <c r="U215" s="121"/>
      <c r="V215" s="122"/>
      <c r="W215" s="122"/>
      <c r="X215" s="122"/>
      <c r="Y215" s="122"/>
      <c r="Z215" s="122"/>
      <c r="AA215" s="117"/>
    </row>
    <row r="216" spans="1:27" s="10" customFormat="1" ht="21" customHeight="1" x14ac:dyDescent="0.25">
      <c r="A216" s="397"/>
      <c r="B216" s="382"/>
      <c r="C216" s="124" t="str">
        <f>+'RVK SVÆDI'!C194</f>
        <v>Úlfarsárdalur - Leirtjörn þróun</v>
      </c>
      <c r="D216" s="116">
        <f>+'RVK SVÆDI'!D194</f>
        <v>3</v>
      </c>
      <c r="E216" s="117" t="str">
        <f>+'RVK SVÆDI'!E194</f>
        <v>Úlfarsárdalur</v>
      </c>
      <c r="F216" s="117" t="str">
        <f>+'RVK SVÆDI'!F194</f>
        <v>Dalskóli</v>
      </c>
      <c r="G216" s="118"/>
      <c r="H216" s="118"/>
      <c r="I216" s="118"/>
      <c r="J216" s="119"/>
      <c r="K216" s="117"/>
      <c r="L216" s="120"/>
      <c r="M216" s="117"/>
      <c r="N216" s="120"/>
      <c r="O216" s="120"/>
      <c r="P216" s="117"/>
      <c r="Q216" s="121"/>
      <c r="R216" s="121"/>
      <c r="S216" s="121"/>
      <c r="T216" s="121"/>
      <c r="U216" s="121"/>
      <c r="V216" s="122"/>
      <c r="W216" s="122"/>
      <c r="X216" s="122"/>
      <c r="Y216" s="122"/>
      <c r="Z216" s="122"/>
      <c r="AA216" s="117"/>
    </row>
    <row r="217" spans="1:27" s="10" customFormat="1" ht="21" customHeight="1" x14ac:dyDescent="0.25">
      <c r="A217" s="397"/>
      <c r="B217" s="382"/>
      <c r="C217" s="124" t="str">
        <f>+'RVK SVÆDI'!C195</f>
        <v>Úlfarsárdalur-austurreitir</v>
      </c>
      <c r="D217" s="116">
        <f>+'RVK SVÆDI'!D195</f>
        <v>5</v>
      </c>
      <c r="E217" s="117" t="str">
        <f>+'RVK SVÆDI'!E195</f>
        <v>Úlfarsárdalur</v>
      </c>
      <c r="F217" s="117" t="str">
        <f>+'RVK SVÆDI'!F195</f>
        <v>Dalskóli</v>
      </c>
      <c r="G217" s="118"/>
      <c r="H217" s="118"/>
      <c r="I217" s="118"/>
      <c r="J217" s="119"/>
      <c r="K217" s="117"/>
      <c r="L217" s="120"/>
      <c r="M217" s="117"/>
      <c r="N217" s="120"/>
      <c r="O217" s="120"/>
      <c r="P217" s="117"/>
      <c r="Q217" s="121"/>
      <c r="R217" s="121"/>
      <c r="S217" s="121"/>
      <c r="T217" s="121"/>
      <c r="U217" s="121"/>
      <c r="V217" s="122"/>
      <c r="W217" s="122"/>
      <c r="X217" s="122"/>
      <c r="Y217" s="122"/>
      <c r="Z217" s="122"/>
      <c r="AA217" s="117"/>
    </row>
    <row r="218" spans="1:27" ht="21" customHeight="1" x14ac:dyDescent="0.25">
      <c r="A218" s="397"/>
      <c r="B218" s="382"/>
      <c r="C218" s="7" t="str">
        <f>+'RVK SVÆDI'!C196</f>
        <v>Úlfarsárdalur-Hamrahlíðarlönd</v>
      </c>
      <c r="D218" s="8">
        <f>+'RVK SVÆDI'!D196</f>
        <v>5</v>
      </c>
      <c r="E218" s="6" t="str">
        <f>+'RVK SVÆDI'!E196</f>
        <v>Úlfarsárdalur</v>
      </c>
      <c r="F218" s="6" t="str">
        <f>+'RVK SVÆDI'!F196</f>
        <v>Dalskóli</v>
      </c>
      <c r="G218" s="108">
        <v>200000</v>
      </c>
      <c r="H218" s="108">
        <v>0</v>
      </c>
      <c r="I218" s="108">
        <v>0</v>
      </c>
      <c r="J218" s="109">
        <f t="shared" ref="J218" si="134">+IF(D218=1,(G218-H218-I218),IF(D218=2,(G218-H218-I218),0))</f>
        <v>0</v>
      </c>
      <c r="L218" s="112">
        <v>30</v>
      </c>
      <c r="M218" s="6">
        <f t="shared" ref="M218" si="135">+L218*12</f>
        <v>360</v>
      </c>
      <c r="N218" s="112">
        <v>84</v>
      </c>
      <c r="O218" s="112">
        <v>12</v>
      </c>
      <c r="P218" s="6">
        <f t="shared" ref="P218:P233" si="136">+N218+O218+18</f>
        <v>114</v>
      </c>
      <c r="Q218" s="113">
        <f t="shared" ref="Q218:U226" si="137">IFERROR(IF(AND((Q$236-$P218)/$M218&gt;0,(Q$236-$P218)/$M218&lt;1),(Q$236-$P218)/$M218,IF((Q$236-$P218)/$M218&gt;0,1,0)),0)</f>
        <v>0</v>
      </c>
      <c r="R218" s="113">
        <f t="shared" si="137"/>
        <v>0</v>
      </c>
      <c r="S218" s="113">
        <f t="shared" si="137"/>
        <v>0</v>
      </c>
      <c r="T218" s="113">
        <f t="shared" si="137"/>
        <v>0</v>
      </c>
      <c r="U218" s="113">
        <f t="shared" si="137"/>
        <v>0</v>
      </c>
      <c r="V218" s="114">
        <f>Q218*($G218-$H218)</f>
        <v>0</v>
      </c>
      <c r="W218" s="114">
        <f>R218*($G218-$H218)-V218</f>
        <v>0</v>
      </c>
      <c r="X218" s="114">
        <f t="shared" ref="X218" si="138">S218*($G218-$H218)-SUM(V218:W218)</f>
        <v>0</v>
      </c>
      <c r="Y218" s="114">
        <f t="shared" ref="Y218" si="139">T218*($G218-$H218)-SUM(V218:X218)</f>
        <v>0</v>
      </c>
      <c r="Z218" s="114">
        <f>U218*($G218-$H218)-SUM(V218:Y218)</f>
        <v>0</v>
      </c>
    </row>
    <row r="219" spans="1:27" ht="21" customHeight="1" x14ac:dyDescent="0.25">
      <c r="A219" s="397"/>
      <c r="B219" s="382"/>
      <c r="C219" s="7" t="str">
        <f>+'RVK SVÆDI'!C197</f>
        <v>Krókháls</v>
      </c>
      <c r="D219" s="8">
        <f>+'RVK SVÆDI'!D197</f>
        <v>2</v>
      </c>
      <c r="E219" s="6" t="str">
        <f>+'RVK SVÆDI'!E197</f>
        <v>Úlfarsárdalur</v>
      </c>
      <c r="F219" s="6">
        <f>+'RVK SVÆDI'!F197</f>
        <v>0</v>
      </c>
      <c r="G219" s="108">
        <v>2000</v>
      </c>
      <c r="H219" s="108">
        <v>0</v>
      </c>
      <c r="I219" s="108">
        <v>0</v>
      </c>
      <c r="J219" s="109">
        <f t="shared" si="123"/>
        <v>2000</v>
      </c>
      <c r="L219" s="112">
        <v>1</v>
      </c>
      <c r="M219" s="6">
        <f t="shared" si="112"/>
        <v>12</v>
      </c>
      <c r="N219" s="112">
        <v>10</v>
      </c>
      <c r="O219" s="112">
        <v>14</v>
      </c>
      <c r="P219" s="6">
        <f t="shared" si="136"/>
        <v>42</v>
      </c>
      <c r="Q219" s="113">
        <f t="shared" si="137"/>
        <v>0</v>
      </c>
      <c r="R219" s="113">
        <f t="shared" si="137"/>
        <v>0</v>
      </c>
      <c r="S219" s="113">
        <f t="shared" si="137"/>
        <v>0</v>
      </c>
      <c r="T219" s="113">
        <f t="shared" si="137"/>
        <v>0</v>
      </c>
      <c r="U219" s="113">
        <f t="shared" si="137"/>
        <v>1</v>
      </c>
      <c r="V219" s="114">
        <f>Q219*($G219-$H219)</f>
        <v>0</v>
      </c>
      <c r="W219" s="114">
        <f>R219*($G219-$H219)-V219</f>
        <v>0</v>
      </c>
      <c r="X219" s="114">
        <f t="shared" ref="X219:X220" si="140">S219*($G219-$H219)-SUM(V219:W219)</f>
        <v>0</v>
      </c>
      <c r="Y219" s="114">
        <f t="shared" ref="Y219:Y220" si="141">T219*($G219-$H219)-SUM(V219:X219)</f>
        <v>0</v>
      </c>
      <c r="Z219" s="114">
        <f>U219*($G219-$H219)-SUM(V219:Y219)</f>
        <v>2000</v>
      </c>
    </row>
    <row r="220" spans="1:27" s="144" customFormat="1" ht="21" customHeight="1" x14ac:dyDescent="0.25">
      <c r="A220" s="397"/>
      <c r="B220" s="382"/>
      <c r="C220" t="str">
        <f>+'RVK SVÆDI'!C198</f>
        <v>Hádegismóar M17</v>
      </c>
      <c r="D220" s="8">
        <f>+'RVK SVÆDI'!D198</f>
        <v>2</v>
      </c>
      <c r="E220" s="6" t="str">
        <f>+'RVK SVÆDI'!E198</f>
        <v>Úlfarsárdalur</v>
      </c>
      <c r="F220" s="6">
        <f>+'RVK SVÆDI'!F198</f>
        <v>0</v>
      </c>
      <c r="G220" s="108">
        <v>42300</v>
      </c>
      <c r="H220" s="108">
        <v>24800</v>
      </c>
      <c r="I220" s="108">
        <v>0</v>
      </c>
      <c r="J220" s="109">
        <f t="shared" si="123"/>
        <v>17500</v>
      </c>
      <c r="K220" s="143"/>
      <c r="L220" s="141">
        <v>1</v>
      </c>
      <c r="M220" s="6">
        <f t="shared" si="112"/>
        <v>12</v>
      </c>
      <c r="N220" s="112">
        <v>48</v>
      </c>
      <c r="O220" s="112">
        <v>14</v>
      </c>
      <c r="P220" s="6">
        <f t="shared" si="136"/>
        <v>80</v>
      </c>
      <c r="Q220" s="113">
        <f t="shared" si="137"/>
        <v>0</v>
      </c>
      <c r="R220" s="113">
        <f t="shared" si="137"/>
        <v>0</v>
      </c>
      <c r="S220" s="113">
        <f t="shared" si="137"/>
        <v>0</v>
      </c>
      <c r="T220" s="113">
        <f t="shared" si="137"/>
        <v>0</v>
      </c>
      <c r="U220" s="113">
        <f t="shared" si="137"/>
        <v>0</v>
      </c>
      <c r="V220" s="114">
        <f>Q220*($G220-$H220)</f>
        <v>0</v>
      </c>
      <c r="W220" s="114">
        <f>R220*($G220-$H220)-V220</f>
        <v>0</v>
      </c>
      <c r="X220" s="114">
        <f t="shared" si="140"/>
        <v>0</v>
      </c>
      <c r="Y220" s="114">
        <f t="shared" si="141"/>
        <v>0</v>
      </c>
      <c r="Z220" s="114">
        <f>U220*($G220-$H220)-SUM(V220:Y220)</f>
        <v>0</v>
      </c>
      <c r="AA220" s="143"/>
    </row>
    <row r="221" spans="1:27" ht="21" customHeight="1" x14ac:dyDescent="0.25">
      <c r="A221" s="397"/>
      <c r="B221" s="382"/>
      <c r="C221" t="str">
        <f>+'RVK SVÆDI'!C199</f>
        <v>Hólmsheiði</v>
      </c>
      <c r="D221" s="8">
        <f>+'RVK SVÆDI'!D199</f>
        <v>2</v>
      </c>
      <c r="E221" s="6" t="str">
        <f>+'RVK SVÆDI'!E199</f>
        <v>Úlfarsárdalur</v>
      </c>
      <c r="F221" s="6">
        <f>+'RVK SVÆDI'!F199</f>
        <v>0</v>
      </c>
      <c r="G221" s="130">
        <v>52980</v>
      </c>
      <c r="H221" s="108">
        <v>0</v>
      </c>
      <c r="I221" s="108">
        <v>0</v>
      </c>
      <c r="J221" s="109">
        <f t="shared" si="123"/>
        <v>52980</v>
      </c>
      <c r="L221" s="110" t="s">
        <v>305</v>
      </c>
      <c r="M221" s="111"/>
      <c r="N221" s="111"/>
      <c r="O221" s="111"/>
      <c r="P221" s="111"/>
      <c r="Q221" s="111"/>
      <c r="R221" s="111"/>
      <c r="S221" s="111"/>
      <c r="T221" s="111"/>
      <c r="U221" s="111"/>
      <c r="V221" s="108">
        <v>0</v>
      </c>
      <c r="W221" s="108">
        <v>0</v>
      </c>
      <c r="X221" s="108">
        <v>0</v>
      </c>
      <c r="Y221" s="108">
        <v>0</v>
      </c>
      <c r="Z221" s="108">
        <v>0</v>
      </c>
    </row>
    <row r="222" spans="1:27" ht="21" customHeight="1" x14ac:dyDescent="0.25">
      <c r="A222" s="397"/>
      <c r="B222" s="382"/>
      <c r="C222" s="364" t="str">
        <f>+'RVK SVÆDI'!C200</f>
        <v>Hólmsheiði skipulagi frestað</v>
      </c>
      <c r="D222" s="374">
        <f>+'RVK SVÆDI'!D200</f>
        <v>3</v>
      </c>
      <c r="E222" s="6" t="str">
        <f>+'RVK SVÆDI'!E200</f>
        <v>Úlfarsárdalur</v>
      </c>
      <c r="F222" s="6">
        <f>+'RVK SVÆDI'!F200</f>
        <v>0</v>
      </c>
      <c r="G222" s="130">
        <v>72890</v>
      </c>
      <c r="H222" s="108">
        <v>0</v>
      </c>
      <c r="I222" s="108">
        <v>0</v>
      </c>
      <c r="J222" s="109">
        <f t="shared" si="123"/>
        <v>0</v>
      </c>
      <c r="L222" s="110" t="s">
        <v>305</v>
      </c>
      <c r="M222" s="111"/>
      <c r="N222" s="111"/>
      <c r="O222" s="111"/>
      <c r="P222" s="111"/>
      <c r="Q222" s="111"/>
      <c r="R222" s="111"/>
      <c r="S222" s="111"/>
      <c r="T222" s="111"/>
      <c r="U222" s="111"/>
      <c r="V222" s="108">
        <v>0</v>
      </c>
      <c r="W222" s="108">
        <v>0</v>
      </c>
      <c r="X222" s="108">
        <v>0</v>
      </c>
      <c r="Y222" s="108">
        <v>0</v>
      </c>
      <c r="Z222" s="108">
        <v>0</v>
      </c>
    </row>
    <row r="223" spans="1:27" ht="21" customHeight="1" x14ac:dyDescent="0.25">
      <c r="A223" s="397"/>
      <c r="B223" s="382"/>
      <c r="C223" t="str">
        <f>+'RVK SVÆDI'!C201</f>
        <v>Hólmsheiði þróun</v>
      </c>
      <c r="D223" s="8">
        <f>+'RVK SVÆDI'!D201</f>
        <v>5</v>
      </c>
      <c r="E223" s="6" t="str">
        <f>+'RVK SVÆDI'!E201</f>
        <v>Úlfarsárdalur</v>
      </c>
      <c r="F223" s="6">
        <f>+'RVK SVÆDI'!F201</f>
        <v>0</v>
      </c>
      <c r="G223" s="108">
        <v>164000</v>
      </c>
      <c r="H223" s="108">
        <v>0</v>
      </c>
      <c r="I223" s="108">
        <v>0</v>
      </c>
      <c r="J223" s="109">
        <f t="shared" si="123"/>
        <v>0</v>
      </c>
      <c r="L223" s="141">
        <v>20</v>
      </c>
      <c r="M223" s="6">
        <f t="shared" ref="M223" si="142">+L223*12</f>
        <v>240</v>
      </c>
      <c r="N223" s="112">
        <v>192</v>
      </c>
      <c r="O223" s="112">
        <v>14</v>
      </c>
      <c r="P223" s="6">
        <f t="shared" ref="P223" si="143">+N223+O223+18</f>
        <v>224</v>
      </c>
      <c r="Q223" s="113">
        <f t="shared" si="137"/>
        <v>0</v>
      </c>
      <c r="R223" s="113">
        <f t="shared" si="137"/>
        <v>0</v>
      </c>
      <c r="S223" s="113">
        <f t="shared" si="137"/>
        <v>0</v>
      </c>
      <c r="T223" s="113">
        <f t="shared" si="137"/>
        <v>0</v>
      </c>
      <c r="U223" s="113">
        <f t="shared" si="137"/>
        <v>0</v>
      </c>
      <c r="V223" s="114">
        <f t="shared" ref="V223" si="144">Q223*($G223-$H223)</f>
        <v>0</v>
      </c>
      <c r="W223" s="114">
        <f t="shared" ref="W223" si="145">R223*($G223-$H223)-V223</f>
        <v>0</v>
      </c>
      <c r="X223" s="114">
        <f t="shared" ref="X223" si="146">S223*($G223-$H223)-SUM(V223:W223)</f>
        <v>0</v>
      </c>
      <c r="Y223" s="114">
        <f t="shared" ref="Y223" si="147">T223*($G223-$H223)-SUM(V223:X223)</f>
        <v>0</v>
      </c>
      <c r="Z223" s="114">
        <f t="shared" ref="Z223" si="148">U223*($G223-$H223)-SUM(V223:Y223)</f>
        <v>0</v>
      </c>
    </row>
    <row r="224" spans="1:27" ht="21" customHeight="1" x14ac:dyDescent="0.25">
      <c r="A224" s="397"/>
      <c r="B224" s="382"/>
      <c r="C224" t="str">
        <f>+'RVK SVÆDI'!C202</f>
        <v>Hallar M9b (Lambhagavegur)</v>
      </c>
      <c r="D224" s="8">
        <f>+'RVK SVÆDI'!D202</f>
        <v>2</v>
      </c>
      <c r="E224" s="6" t="str">
        <f>+'RVK SVÆDI'!E202</f>
        <v>Úlfarsárdalur</v>
      </c>
      <c r="F224" s="6">
        <f>+'RVK SVÆDI'!F202</f>
        <v>0</v>
      </c>
      <c r="G224" s="108">
        <v>43741</v>
      </c>
      <c r="H224" s="130">
        <f>13500+3000</f>
        <v>16500</v>
      </c>
      <c r="I224" s="130">
        <v>0</v>
      </c>
      <c r="J224" s="109">
        <f t="shared" si="123"/>
        <v>27241</v>
      </c>
      <c r="L224" s="110" t="s">
        <v>305</v>
      </c>
      <c r="M224" s="111"/>
      <c r="N224" s="111"/>
      <c r="O224" s="111"/>
      <c r="P224" s="111"/>
      <c r="Q224" s="111"/>
      <c r="R224" s="111"/>
      <c r="S224" s="111"/>
      <c r="T224" s="111"/>
      <c r="U224" s="111"/>
      <c r="V224" s="108">
        <v>3000</v>
      </c>
      <c r="W224" s="108">
        <v>5000</v>
      </c>
      <c r="X224" s="108">
        <v>4000</v>
      </c>
      <c r="Y224" s="130">
        <v>0</v>
      </c>
      <c r="Z224" s="108">
        <v>4000</v>
      </c>
    </row>
    <row r="225" spans="1:27" ht="21" customHeight="1" x14ac:dyDescent="0.25">
      <c r="A225" s="397"/>
      <c r="B225" s="382"/>
      <c r="C225" t="str">
        <f>+'RVK SVÆDI'!C203</f>
        <v>Hamrahlíðalönd M22</v>
      </c>
      <c r="D225" s="8">
        <f>+'RVK SVÆDI'!D203</f>
        <v>4</v>
      </c>
      <c r="E225" s="6" t="str">
        <f>+'RVK SVÆDI'!E203</f>
        <v>Úlfarsárdalur</v>
      </c>
      <c r="F225" s="6">
        <f>+'RVK SVÆDI'!F203</f>
        <v>0</v>
      </c>
      <c r="G225" s="108">
        <v>200000</v>
      </c>
      <c r="H225" s="108">
        <v>0</v>
      </c>
      <c r="I225" s="108">
        <v>0</v>
      </c>
      <c r="J225" s="109">
        <f t="shared" si="123"/>
        <v>0</v>
      </c>
      <c r="L225" s="141">
        <v>10</v>
      </c>
      <c r="M225" s="6">
        <f t="shared" si="112"/>
        <v>120</v>
      </c>
      <c r="N225" s="112">
        <v>48</v>
      </c>
      <c r="O225" s="112">
        <v>14</v>
      </c>
      <c r="P225" s="6">
        <f t="shared" si="136"/>
        <v>80</v>
      </c>
      <c r="Q225" s="113">
        <f t="shared" si="137"/>
        <v>0</v>
      </c>
      <c r="R225" s="113">
        <f t="shared" si="137"/>
        <v>0</v>
      </c>
      <c r="S225" s="113">
        <f t="shared" si="137"/>
        <v>0</v>
      </c>
      <c r="T225" s="113">
        <f t="shared" si="137"/>
        <v>0</v>
      </c>
      <c r="U225" s="113">
        <f t="shared" si="137"/>
        <v>0</v>
      </c>
      <c r="V225" s="114">
        <f>Q225*($G225-$H225)</f>
        <v>0</v>
      </c>
      <c r="W225" s="114">
        <f>R225*($G225-$H225)-V225</f>
        <v>0</v>
      </c>
      <c r="X225" s="114">
        <f t="shared" ref="X225:X226" si="149">S225*($G225-$H225)-SUM(V225:W225)</f>
        <v>0</v>
      </c>
      <c r="Y225" s="114">
        <f t="shared" ref="Y225:Y226" si="150">T225*($G225-$H225)-SUM(V225:X225)</f>
        <v>0</v>
      </c>
      <c r="Z225" s="114">
        <f>U225*($G225-$H225)-SUM(V225:Y225)</f>
        <v>0</v>
      </c>
    </row>
    <row r="226" spans="1:27" s="125" customFormat="1" ht="21" customHeight="1" x14ac:dyDescent="0.25">
      <c r="A226" s="397"/>
      <c r="B226" s="382"/>
      <c r="C226" t="str">
        <f>+'RVK SVÆDI'!C204</f>
        <v>Korpa M9c (Korputorg o.fl)</v>
      </c>
      <c r="D226" s="8">
        <f>+'RVK SVÆDI'!D204</f>
        <v>3</v>
      </c>
      <c r="E226" s="6" t="str">
        <f>+'RVK SVÆDI'!E204</f>
        <v>Úlfarsárdalur</v>
      </c>
      <c r="F226" s="6">
        <f>+'RVK SVÆDI'!F204</f>
        <v>0</v>
      </c>
      <c r="G226" s="108">
        <v>45500</v>
      </c>
      <c r="H226" s="108">
        <v>0</v>
      </c>
      <c r="I226" s="108">
        <v>0</v>
      </c>
      <c r="J226" s="109">
        <f t="shared" si="123"/>
        <v>0</v>
      </c>
      <c r="K226" s="131"/>
      <c r="L226" s="141">
        <v>10</v>
      </c>
      <c r="M226" s="6">
        <f t="shared" si="112"/>
        <v>120</v>
      </c>
      <c r="N226" s="112">
        <v>48</v>
      </c>
      <c r="O226" s="112">
        <v>14</v>
      </c>
      <c r="P226" s="6">
        <f t="shared" si="136"/>
        <v>80</v>
      </c>
      <c r="Q226" s="113">
        <f t="shared" si="137"/>
        <v>0</v>
      </c>
      <c r="R226" s="113">
        <f t="shared" si="137"/>
        <v>0</v>
      </c>
      <c r="S226" s="113">
        <f t="shared" si="137"/>
        <v>0</v>
      </c>
      <c r="T226" s="113">
        <f t="shared" si="137"/>
        <v>0</v>
      </c>
      <c r="U226" s="113">
        <f t="shared" si="137"/>
        <v>0</v>
      </c>
      <c r="V226" s="114">
        <f>Q226*($G226-$H226)</f>
        <v>0</v>
      </c>
      <c r="W226" s="114">
        <f>R226*($G226-$H226)-V226</f>
        <v>0</v>
      </c>
      <c r="X226" s="114">
        <f t="shared" si="149"/>
        <v>0</v>
      </c>
      <c r="Y226" s="114">
        <f t="shared" si="150"/>
        <v>0</v>
      </c>
      <c r="Z226" s="114">
        <f>U226*($G226-$H226)-SUM(V226:Y226)</f>
        <v>0</v>
      </c>
      <c r="AA226" s="131"/>
    </row>
    <row r="227" spans="1:27" s="10" customFormat="1" ht="21" customHeight="1" x14ac:dyDescent="0.25">
      <c r="A227" s="397"/>
      <c r="B227" s="382"/>
      <c r="C227" s="124" t="str">
        <f>+'RVK SVÆDI'!C205</f>
        <v>Kjalarnes - Grundarhverfi</v>
      </c>
      <c r="D227" s="116">
        <f>+'RVK SVÆDI'!D205</f>
        <v>2</v>
      </c>
      <c r="E227" s="117" t="str">
        <f>+'RVK SVÆDI'!E205</f>
        <v>Kjalarnes</v>
      </c>
      <c r="F227" s="117" t="str">
        <f>+'RVK SVÆDI'!F205</f>
        <v>Klébergsskóli</v>
      </c>
      <c r="G227" s="118"/>
      <c r="H227" s="118"/>
      <c r="I227" s="118"/>
      <c r="J227" s="119"/>
      <c r="K227" s="117"/>
      <c r="L227" s="120"/>
      <c r="M227" s="117"/>
      <c r="N227" s="120"/>
      <c r="O227" s="120"/>
      <c r="P227" s="117"/>
      <c r="Q227" s="121"/>
      <c r="R227" s="121"/>
      <c r="S227" s="121"/>
      <c r="T227" s="121"/>
      <c r="U227" s="121"/>
      <c r="V227" s="122"/>
      <c r="W227" s="122"/>
      <c r="X227" s="122"/>
      <c r="Y227" s="122"/>
      <c r="Z227" s="122"/>
      <c r="AA227" s="117"/>
    </row>
    <row r="228" spans="1:27" s="10" customFormat="1" ht="21" customHeight="1" x14ac:dyDescent="0.25">
      <c r="A228" s="397"/>
      <c r="B228" s="382"/>
      <c r="C228" s="124" t="str">
        <f>+'RVK SVÆDI'!C206</f>
        <v>Kjalarnes - Grundarhverfi DSK í vinnslu</v>
      </c>
      <c r="D228" s="116">
        <f>+'RVK SVÆDI'!D206</f>
        <v>3</v>
      </c>
      <c r="E228" s="117" t="str">
        <f>+'RVK SVÆDI'!E206</f>
        <v>Kjalarnes</v>
      </c>
      <c r="F228" s="117" t="str">
        <f>+'RVK SVÆDI'!F206</f>
        <v>Klébergsskóli</v>
      </c>
      <c r="G228" s="118"/>
      <c r="H228" s="118"/>
      <c r="I228" s="118"/>
      <c r="J228" s="119"/>
      <c r="K228" s="117"/>
      <c r="L228" s="120"/>
      <c r="M228" s="117"/>
      <c r="N228" s="120"/>
      <c r="O228" s="120"/>
      <c r="P228" s="117"/>
      <c r="Q228" s="121"/>
      <c r="R228" s="121"/>
      <c r="S228" s="121"/>
      <c r="T228" s="121"/>
      <c r="U228" s="121"/>
      <c r="V228" s="122"/>
      <c r="W228" s="122"/>
      <c r="X228" s="122"/>
      <c r="Y228" s="122"/>
      <c r="Z228" s="122"/>
      <c r="AA228" s="117"/>
    </row>
    <row r="229" spans="1:27" s="144" customFormat="1" ht="21" customHeight="1" x14ac:dyDescent="0.25">
      <c r="A229" s="397"/>
      <c r="B229" s="382"/>
      <c r="C229" t="str">
        <f>+'RVK SVÆDI'!C207</f>
        <v>Esjumelar AT5 vestan Vesturlandsvegar</v>
      </c>
      <c r="D229" s="8">
        <f>+'RVK SVÆDI'!D207</f>
        <v>5</v>
      </c>
      <c r="E229" s="1" t="str">
        <f>+'RVK SVÆDI'!E207</f>
        <v>Kjalarnes</v>
      </c>
      <c r="F229" s="1">
        <f>+'RVK SVÆDI'!F207</f>
        <v>0</v>
      </c>
      <c r="G229" s="108">
        <v>173500</v>
      </c>
      <c r="H229" s="108">
        <v>0</v>
      </c>
      <c r="I229" s="108">
        <v>0</v>
      </c>
      <c r="J229" s="109">
        <f t="shared" si="123"/>
        <v>0</v>
      </c>
      <c r="K229" s="143"/>
      <c r="L229" s="141">
        <v>20</v>
      </c>
      <c r="M229" s="6">
        <f t="shared" si="112"/>
        <v>240</v>
      </c>
      <c r="N229" s="112">
        <v>48</v>
      </c>
      <c r="O229" s="112">
        <v>14</v>
      </c>
      <c r="P229" s="6">
        <f t="shared" si="136"/>
        <v>80</v>
      </c>
      <c r="Q229" s="113">
        <f>IFERROR(IF(AND((Q$236-$P229)/$M229&gt;0,(Q$236-$P229)/$M229&lt;1),(Q$236-$P229)/$M229,IF((Q$236-$P229)/$M229&gt;0,1,0)),0)</f>
        <v>0</v>
      </c>
      <c r="R229" s="113">
        <f>IFERROR(IF(AND((R$236-$P229)/$M229&gt;0,(R$236-$P229)/$M229&lt;1),(R$236-$P229)/$M229,IF((R$236-$P229)/$M229&gt;0,1,0)),0)</f>
        <v>0</v>
      </c>
      <c r="S229" s="113">
        <f>IFERROR(IF(AND((S$236-$P229)/$M229&gt;0,(S$236-$P229)/$M229&lt;1),(S$236-$P229)/$M229,IF((S$236-$P229)/$M229&gt;0,1,0)),0)</f>
        <v>0</v>
      </c>
      <c r="T229" s="113">
        <f>IFERROR(IF(AND((T$236-$P229)/$M229&gt;0,(T$236-$P229)/$M229&lt;1),(T$236-$P229)/$M229,IF((T$236-$P229)/$M229&gt;0,1,0)),0)</f>
        <v>0</v>
      </c>
      <c r="U229" s="113">
        <f>IFERROR(IF(AND((U$236-$P229)/$M229&gt;0,(U$236-$P229)/$M229&lt;1),(U$236-$P229)/$M229,IF((U$236-$P229)/$M229&gt;0,1,0)),0)</f>
        <v>0</v>
      </c>
      <c r="V229" s="114">
        <f>Q229*($G229-$H229)</f>
        <v>0</v>
      </c>
      <c r="W229" s="114">
        <f>R229*($G229-$H229)-V229</f>
        <v>0</v>
      </c>
      <c r="X229" s="114">
        <f>S229*($G229-$H229)-SUM(V229:W229)</f>
        <v>0</v>
      </c>
      <c r="Y229" s="114">
        <f>T229*($G229-$H229)-SUM(V229:X229)</f>
        <v>0</v>
      </c>
      <c r="Z229" s="114">
        <f>U229*($G229-$H229)-SUM(V229:Y229)</f>
        <v>0</v>
      </c>
      <c r="AA229" s="143"/>
    </row>
    <row r="230" spans="1:27" s="125" customFormat="1" ht="21" customHeight="1" x14ac:dyDescent="0.25">
      <c r="A230" s="397"/>
      <c r="B230" s="382"/>
      <c r="C230" t="str">
        <f>+'RVK SVÆDI'!C208</f>
        <v>Esjumelar AT5 austan Vesturlandsvegar sv. A</v>
      </c>
      <c r="D230" s="8">
        <f>+'RVK SVÆDI'!D208</f>
        <v>1</v>
      </c>
      <c r="E230" s="1" t="str">
        <f>+'RVK SVÆDI'!E208</f>
        <v>Kjalarnes</v>
      </c>
      <c r="F230" s="1">
        <f>+'RVK SVÆDI'!F208</f>
        <v>0</v>
      </c>
      <c r="G230" s="108">
        <v>20000</v>
      </c>
      <c r="H230" s="108">
        <v>0</v>
      </c>
      <c r="I230" s="108">
        <v>0</v>
      </c>
      <c r="J230" s="109">
        <f t="shared" si="123"/>
        <v>20000</v>
      </c>
      <c r="K230" s="131"/>
      <c r="L230" s="110" t="s">
        <v>305</v>
      </c>
      <c r="M230" s="111"/>
      <c r="N230" s="111"/>
      <c r="O230" s="111"/>
      <c r="P230" s="111"/>
      <c r="Q230" s="111"/>
      <c r="R230" s="111"/>
      <c r="S230" s="111"/>
      <c r="T230" s="111"/>
      <c r="U230" s="111"/>
      <c r="V230" s="108">
        <v>2000</v>
      </c>
      <c r="W230" s="108">
        <v>2000</v>
      </c>
      <c r="X230" s="108">
        <v>2000</v>
      </c>
      <c r="Y230" s="108">
        <v>2000</v>
      </c>
      <c r="Z230" s="108">
        <v>2000</v>
      </c>
      <c r="AA230" s="131"/>
    </row>
    <row r="231" spans="1:27" s="125" customFormat="1" ht="21" customHeight="1" x14ac:dyDescent="0.25">
      <c r="A231" s="397"/>
      <c r="B231" s="382"/>
      <c r="C231" t="str">
        <f>+'RVK SVÆDI'!C209</f>
        <v>Esjumelar AT5 austan Vesturlandsvegar sv. B</v>
      </c>
      <c r="D231" s="8">
        <f>+'RVK SVÆDI'!D209</f>
        <v>2</v>
      </c>
      <c r="E231" s="1" t="str">
        <f>+'RVK SVÆDI'!E209</f>
        <v>Kjalarnes</v>
      </c>
      <c r="F231" s="1">
        <f>+'RVK SVÆDI'!F209</f>
        <v>0</v>
      </c>
      <c r="G231" s="108">
        <v>126500</v>
      </c>
      <c r="H231" s="108">
        <v>0</v>
      </c>
      <c r="I231" s="108">
        <v>0</v>
      </c>
      <c r="J231" s="109">
        <f t="shared" si="123"/>
        <v>126500</v>
      </c>
      <c r="K231" s="131"/>
      <c r="L231" s="110" t="s">
        <v>305</v>
      </c>
      <c r="M231" s="111"/>
      <c r="N231" s="111"/>
      <c r="O231" s="111"/>
      <c r="P231" s="111"/>
      <c r="Q231" s="111"/>
      <c r="R231" s="111"/>
      <c r="S231" s="111"/>
      <c r="T231" s="111"/>
      <c r="U231" s="111"/>
      <c r="V231" s="108">
        <v>0</v>
      </c>
      <c r="W231" s="108">
        <v>0</v>
      </c>
      <c r="X231" s="108">
        <v>2000</v>
      </c>
      <c r="Y231" s="108">
        <v>2000</v>
      </c>
      <c r="Z231" s="108">
        <v>2000</v>
      </c>
      <c r="AA231" s="131"/>
    </row>
    <row r="232" spans="1:27" s="125" customFormat="1" ht="21" customHeight="1" x14ac:dyDescent="0.25">
      <c r="A232" s="397"/>
      <c r="B232" s="382"/>
      <c r="C232" t="str">
        <f>+'RVK SVÆDI'!C210</f>
        <v>Álfsnesnesvík, I2, H6</v>
      </c>
      <c r="D232" s="8">
        <f>+'RVK SVÆDI'!D210</f>
        <v>3</v>
      </c>
      <c r="E232" s="1" t="str">
        <f>+'RVK SVÆDI'!E210</f>
        <v>Kjalarnes</v>
      </c>
      <c r="F232" s="1">
        <f>+'RVK SVÆDI'!F210</f>
        <v>0</v>
      </c>
      <c r="G232" s="108">
        <v>2000</v>
      </c>
      <c r="H232" s="108">
        <v>0</v>
      </c>
      <c r="I232" s="108">
        <v>0</v>
      </c>
      <c r="J232" s="109">
        <f t="shared" si="123"/>
        <v>0</v>
      </c>
      <c r="K232" s="131"/>
      <c r="L232" s="110" t="s">
        <v>305</v>
      </c>
      <c r="M232" s="111"/>
      <c r="N232" s="111"/>
      <c r="O232" s="111"/>
      <c r="P232" s="111"/>
      <c r="Q232" s="111"/>
      <c r="R232" s="111"/>
      <c r="S232" s="111"/>
      <c r="T232" s="111"/>
      <c r="U232" s="111"/>
      <c r="V232" s="108">
        <v>0</v>
      </c>
      <c r="W232" s="108">
        <v>0</v>
      </c>
      <c r="X232" s="108">
        <v>2000</v>
      </c>
      <c r="Y232" s="108">
        <v>0</v>
      </c>
      <c r="Z232" s="108">
        <v>0</v>
      </c>
      <c r="AA232" s="131"/>
    </row>
    <row r="233" spans="1:27" s="125" customFormat="1" ht="21" customHeight="1" x14ac:dyDescent="0.25">
      <c r="A233" s="397"/>
      <c r="B233" s="382"/>
      <c r="C233" t="str">
        <f>+'RVK SVÆDI'!C211</f>
        <v>Álfsnes norður I2</v>
      </c>
      <c r="D233" s="8">
        <f>+'RVK SVÆDI'!D211</f>
        <v>4</v>
      </c>
      <c r="E233" s="1" t="str">
        <f>+'RVK SVÆDI'!E211</f>
        <v>Kjalarnes</v>
      </c>
      <c r="F233" s="1">
        <f>+'RVK SVÆDI'!F211</f>
        <v>0</v>
      </c>
      <c r="G233" s="108">
        <v>50000</v>
      </c>
      <c r="H233" s="108">
        <v>0</v>
      </c>
      <c r="I233" s="108">
        <v>0</v>
      </c>
      <c r="J233" s="109">
        <f t="shared" si="123"/>
        <v>0</v>
      </c>
      <c r="K233" s="131"/>
      <c r="L233" s="112">
        <v>20</v>
      </c>
      <c r="M233" s="6">
        <f t="shared" si="112"/>
        <v>240</v>
      </c>
      <c r="N233" s="112">
        <v>64</v>
      </c>
      <c r="O233" s="112">
        <v>14</v>
      </c>
      <c r="P233" s="6">
        <f t="shared" si="136"/>
        <v>96</v>
      </c>
      <c r="Q233" s="113">
        <f>IFERROR(IF(AND((Q$236-$P233)/$M233&gt;0,(Q$236-$P233)/$M233&lt;1),(Q$236-$P233)/$M233,IF((Q$236-$P233)/$M233&gt;0,1,0)),0)</f>
        <v>0</v>
      </c>
      <c r="R233" s="113">
        <f>IFERROR(IF(AND((R$236-$P233)/$M233&gt;0,(R$236-$P233)/$M233&lt;1),(R$236-$P233)/$M233,IF((R$236-$P233)/$M233&gt;0,1,0)),0)</f>
        <v>0</v>
      </c>
      <c r="S233" s="113">
        <f>IFERROR(IF(AND((S$236-$P233)/$M233&gt;0,(S$236-$P233)/$M233&lt;1),(S$236-$P233)/$M233,IF((S$236-$P233)/$M233&gt;0,1,0)),0)</f>
        <v>0</v>
      </c>
      <c r="T233" s="113">
        <f>IFERROR(IF(AND((T$236-$P233)/$M233&gt;0,(T$236-$P233)/$M233&lt;1),(T$236-$P233)/$M233,IF((T$236-$P233)/$M233&gt;0,1,0)),0)</f>
        <v>0</v>
      </c>
      <c r="U233" s="113">
        <f>IFERROR(IF(AND((U$236-$P233)/$M233&gt;0,(U$236-$P233)/$M233&lt;1),(U$236-$P233)/$M233,IF((U$236-$P233)/$M233&gt;0,1,0)),0)</f>
        <v>0</v>
      </c>
      <c r="V233" s="114">
        <f>Q233*($G233-$H233)</f>
        <v>0</v>
      </c>
      <c r="W233" s="114">
        <f>R233*($G233-$H233)-V233</f>
        <v>0</v>
      </c>
      <c r="X233" s="114">
        <f>S233*($G233-$H233)-SUM(V233:W233)</f>
        <v>0</v>
      </c>
      <c r="Y233" s="114">
        <f>T233*($G233-$H233)-SUM(V233:X233)</f>
        <v>0</v>
      </c>
      <c r="Z233" s="114">
        <f>U233*($G233-$H233)-SUM(V233:Y233)</f>
        <v>0</v>
      </c>
      <c r="AA233" s="131"/>
    </row>
    <row r="234" spans="1:27" s="10" customFormat="1" ht="21" customHeight="1" x14ac:dyDescent="0.25">
      <c r="A234" s="397"/>
      <c r="B234" s="382"/>
      <c r="C234" s="124" t="str">
        <f>+'RVK SVÆDI'!C212</f>
        <v>Sorpa I5</v>
      </c>
      <c r="D234" s="116">
        <f>+'RVK SVÆDI'!D212</f>
        <v>1</v>
      </c>
      <c r="E234" s="117" t="str">
        <f>+'RVK SVÆDI'!E212</f>
        <v>Kjalarnes</v>
      </c>
      <c r="F234" s="117">
        <f>+'RVK SVÆDI'!F212</f>
        <v>0</v>
      </c>
      <c r="G234" s="118">
        <v>12261</v>
      </c>
      <c r="H234" s="118">
        <v>12261</v>
      </c>
      <c r="I234" s="118">
        <v>0</v>
      </c>
      <c r="J234" s="119">
        <f t="shared" si="123"/>
        <v>0</v>
      </c>
      <c r="K234" s="117"/>
      <c r="L234" s="120"/>
      <c r="M234" s="117"/>
      <c r="N234" s="120"/>
      <c r="O234" s="120"/>
      <c r="P234" s="117"/>
      <c r="Q234" s="121"/>
      <c r="R234" s="121"/>
      <c r="S234" s="121"/>
      <c r="T234" s="121"/>
      <c r="U234" s="121"/>
      <c r="V234" s="122"/>
      <c r="W234" s="122"/>
      <c r="X234" s="122"/>
      <c r="Y234" s="122"/>
      <c r="Z234" s="122"/>
      <c r="AA234" s="117"/>
    </row>
    <row r="235" spans="1:27" s="10" customFormat="1" ht="21" customHeight="1" thickBot="1" x14ac:dyDescent="0.3">
      <c r="A235" s="397"/>
      <c r="B235" s="382"/>
      <c r="C235" s="124" t="str">
        <f>+'RVK SVÆDI'!C213</f>
        <v>Bensínstöðvarlóðir dreift um borgina</v>
      </c>
      <c r="D235" s="116">
        <f>+'RVK SVÆDI'!D213</f>
        <v>5</v>
      </c>
      <c r="E235" s="117" t="str">
        <f>+'RVK SVÆDI'!E213</f>
        <v>Kjalarnes</v>
      </c>
      <c r="F235" s="117">
        <f>+'RVK SVÆDI'!F213</f>
        <v>0</v>
      </c>
      <c r="G235" s="118"/>
      <c r="H235" s="118"/>
      <c r="I235" s="118"/>
      <c r="J235" s="119"/>
      <c r="K235" s="117"/>
      <c r="L235" s="120"/>
      <c r="M235" s="117"/>
      <c r="N235" s="120"/>
      <c r="O235" s="120"/>
      <c r="P235" s="117"/>
      <c r="Q235" s="121"/>
      <c r="R235" s="121"/>
      <c r="S235" s="121"/>
      <c r="T235" s="121"/>
      <c r="U235" s="121"/>
      <c r="V235" s="122"/>
      <c r="W235" s="122"/>
      <c r="X235" s="122"/>
      <c r="Y235" s="122"/>
      <c r="Z235" s="122"/>
      <c r="AA235" s="117"/>
    </row>
    <row r="236" spans="1:27" ht="21" customHeight="1" thickBot="1" x14ac:dyDescent="0.3">
      <c r="Q236" s="145">
        <f>6</f>
        <v>6</v>
      </c>
      <c r="R236" s="146">
        <f>12*1+6</f>
        <v>18</v>
      </c>
      <c r="S236" s="146">
        <f>12*2+6</f>
        <v>30</v>
      </c>
      <c r="T236" s="146">
        <f>12*3+6</f>
        <v>42</v>
      </c>
      <c r="U236" s="147">
        <f>12*4+6</f>
        <v>54</v>
      </c>
    </row>
  </sheetData>
  <autoFilter ref="B25:J235" xr:uid="{B554D1C5-793E-43F8-A4BD-F853F693F853}"/>
  <mergeCells count="26"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ignoredErrors>
    <ignoredError sqref="H4 C18:C21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2670-1AE6-40B1-A9BE-CE1BF7BCDFE4}">
  <dimension ref="A1:L213"/>
  <sheetViews>
    <sheetView showGridLines="0" topLeftCell="A185" zoomScaleNormal="100" workbookViewId="0">
      <selection activeCell="B197" sqref="B197"/>
    </sheetView>
  </sheetViews>
  <sheetFormatPr defaultRowHeight="21" customHeight="1" x14ac:dyDescent="0.25"/>
  <cols>
    <col min="1" max="1" width="16.5703125" customWidth="1"/>
    <col min="2" max="2" width="4" style="1" customWidth="1"/>
    <col min="3" max="3" width="51.5703125" customWidth="1"/>
    <col min="4" max="4" width="9.140625" style="1" customWidth="1"/>
    <col min="5" max="5" width="15.7109375" style="1" customWidth="1"/>
    <col min="6" max="6" width="19.42578125" style="1" customWidth="1"/>
  </cols>
  <sheetData>
    <row r="1" spans="1:12" ht="9" customHeight="1" x14ac:dyDescent="0.25"/>
    <row r="2" spans="1:12" s="2" customFormat="1" ht="21" customHeight="1" x14ac:dyDescent="0.3">
      <c r="A2" s="468"/>
      <c r="B2" s="469" t="s">
        <v>0</v>
      </c>
      <c r="C2" s="469"/>
      <c r="D2" s="423" t="s">
        <v>1</v>
      </c>
      <c r="E2" s="424"/>
      <c r="F2" s="424"/>
    </row>
    <row r="3" spans="1:12" s="5" customFormat="1" ht="21" customHeight="1" x14ac:dyDescent="0.25">
      <c r="A3" s="468"/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</row>
    <row r="4" spans="1:12" s="7" customFormat="1" ht="21" customHeight="1" x14ac:dyDescent="0.25">
      <c r="A4"/>
      <c r="B4" s="6">
        <v>1</v>
      </c>
      <c r="C4" s="7" t="s">
        <v>7</v>
      </c>
      <c r="D4" s="8">
        <f>+'RVK ÍBUDARHUSNÆDI'!D27</f>
        <v>2</v>
      </c>
      <c r="E4" s="6" t="s">
        <v>8</v>
      </c>
      <c r="F4" s="6" t="s">
        <v>9</v>
      </c>
    </row>
    <row r="5" spans="1:12" s="7" customFormat="1" ht="21" customHeight="1" x14ac:dyDescent="0.25">
      <c r="A5"/>
      <c r="B5" s="6">
        <v>2</v>
      </c>
      <c r="C5" s="7" t="s">
        <v>10</v>
      </c>
      <c r="D5" s="374">
        <f>+'RVK ÍBUDARHUSNÆDI'!D28</f>
        <v>1</v>
      </c>
      <c r="E5" s="6" t="s">
        <v>8</v>
      </c>
      <c r="F5" s="6" t="s">
        <v>9</v>
      </c>
    </row>
    <row r="6" spans="1:12" s="7" customFormat="1" ht="21" customHeight="1" x14ac:dyDescent="0.25">
      <c r="A6"/>
      <c r="B6" s="6">
        <v>3</v>
      </c>
      <c r="C6" s="7" t="s">
        <v>11</v>
      </c>
      <c r="D6" s="374">
        <f>+'RVK ÍBUDARHUSNÆDI'!D29</f>
        <v>1</v>
      </c>
      <c r="E6" s="6" t="s">
        <v>8</v>
      </c>
      <c r="F6" s="6" t="s">
        <v>9</v>
      </c>
    </row>
    <row r="7" spans="1:12" s="7" customFormat="1" ht="21" customHeight="1" x14ac:dyDescent="0.25">
      <c r="A7"/>
      <c r="B7" s="6">
        <v>4</v>
      </c>
      <c r="C7" s="7" t="s">
        <v>497</v>
      </c>
      <c r="D7" s="8">
        <f>+'RVK ÍBUDARHUSNÆDI'!D30</f>
        <v>2</v>
      </c>
      <c r="E7" s="6" t="s">
        <v>8</v>
      </c>
      <c r="F7" s="6" t="s">
        <v>9</v>
      </c>
    </row>
    <row r="8" spans="1:12" s="9" customFormat="1" ht="21" customHeight="1" x14ac:dyDescent="0.25">
      <c r="A8"/>
      <c r="B8" s="6">
        <v>5</v>
      </c>
      <c r="C8" s="7" t="s">
        <v>12</v>
      </c>
      <c r="D8" s="374">
        <f>+'RVK ÍBUDARHUSNÆDI'!D31</f>
        <v>1</v>
      </c>
      <c r="E8" s="6" t="s">
        <v>8</v>
      </c>
      <c r="F8" s="6" t="s">
        <v>9</v>
      </c>
    </row>
    <row r="9" spans="1:12" s="7" customFormat="1" ht="21" customHeight="1" x14ac:dyDescent="0.25">
      <c r="A9"/>
      <c r="B9" s="6">
        <v>6</v>
      </c>
      <c r="C9" s="7" t="s">
        <v>13</v>
      </c>
      <c r="D9" s="8">
        <f>+'RVK ÍBUDARHUSNÆDI'!D32</f>
        <v>4</v>
      </c>
      <c r="E9" s="6" t="s">
        <v>8</v>
      </c>
      <c r="F9" s="6" t="s">
        <v>9</v>
      </c>
    </row>
    <row r="10" spans="1:12" s="7" customFormat="1" ht="21" customHeight="1" x14ac:dyDescent="0.25">
      <c r="A10"/>
      <c r="B10" s="6">
        <v>7</v>
      </c>
      <c r="C10" s="7" t="s">
        <v>14</v>
      </c>
      <c r="D10" s="374">
        <f>+'RVK ÍBUDARHUSNÆDI'!D33</f>
        <v>1</v>
      </c>
      <c r="E10" s="6" t="s">
        <v>8</v>
      </c>
      <c r="F10" s="6" t="s">
        <v>9</v>
      </c>
    </row>
    <row r="11" spans="1:12" s="7" customFormat="1" ht="21" customHeight="1" x14ac:dyDescent="0.25">
      <c r="A11"/>
      <c r="B11" s="6">
        <v>8</v>
      </c>
      <c r="C11" s="7" t="s">
        <v>15</v>
      </c>
      <c r="D11" s="374">
        <f>+'RVK ÍBUDARHUSNÆDI'!D34</f>
        <v>3</v>
      </c>
      <c r="E11" s="6" t="s">
        <v>8</v>
      </c>
      <c r="F11" s="6" t="s">
        <v>16</v>
      </c>
      <c r="H11" s="7" t="s">
        <v>495</v>
      </c>
      <c r="K11" s="7">
        <v>56525</v>
      </c>
      <c r="L11" s="7" t="s">
        <v>496</v>
      </c>
    </row>
    <row r="12" spans="1:12" s="7" customFormat="1" ht="21" customHeight="1" x14ac:dyDescent="0.25">
      <c r="A12"/>
      <c r="B12" s="6">
        <v>9</v>
      </c>
      <c r="C12" s="7" t="s">
        <v>17</v>
      </c>
      <c r="D12" s="374">
        <f>+'RVK ÍBUDARHUSNÆDI'!D35</f>
        <v>4</v>
      </c>
      <c r="E12" s="6" t="s">
        <v>8</v>
      </c>
      <c r="F12" s="6" t="s">
        <v>18</v>
      </c>
    </row>
    <row r="13" spans="1:12" s="10" customFormat="1" ht="21" customHeight="1" x14ac:dyDescent="0.25">
      <c r="A13"/>
      <c r="B13" s="6">
        <v>10</v>
      </c>
      <c r="C13" s="7" t="s">
        <v>19</v>
      </c>
      <c r="D13" s="8">
        <f>+'RVK ÍBUDARHUSNÆDI'!D36</f>
        <v>1</v>
      </c>
      <c r="E13" s="6" t="s">
        <v>8</v>
      </c>
      <c r="F13" s="6" t="s">
        <v>18</v>
      </c>
    </row>
    <row r="14" spans="1:12" s="10" customFormat="1" ht="21" customHeight="1" x14ac:dyDescent="0.25">
      <c r="A14"/>
      <c r="B14" s="6">
        <v>11</v>
      </c>
      <c r="C14" s="7" t="s">
        <v>20</v>
      </c>
      <c r="D14" s="8">
        <f>+'RVK ÍBUDARHUSNÆDI'!D37</f>
        <v>2</v>
      </c>
      <c r="E14" s="6" t="s">
        <v>8</v>
      </c>
      <c r="F14" s="6" t="s">
        <v>18</v>
      </c>
    </row>
    <row r="15" spans="1:12" s="10" customFormat="1" ht="21" customHeight="1" x14ac:dyDescent="0.25">
      <c r="A15"/>
      <c r="B15" s="6">
        <v>12</v>
      </c>
      <c r="C15" s="7" t="s">
        <v>21</v>
      </c>
      <c r="D15" s="8">
        <f>+'RVK ÍBUDARHUSNÆDI'!D38</f>
        <v>3</v>
      </c>
      <c r="E15" s="6" t="s">
        <v>8</v>
      </c>
      <c r="F15" s="6" t="s">
        <v>18</v>
      </c>
    </row>
    <row r="16" spans="1:12" s="7" customFormat="1" ht="21" customHeight="1" x14ac:dyDescent="0.25">
      <c r="A16"/>
      <c r="B16" s="6">
        <v>13</v>
      </c>
      <c r="C16" s="7" t="s">
        <v>22</v>
      </c>
      <c r="D16" s="8">
        <f>+'RVK ÍBUDARHUSNÆDI'!D39</f>
        <v>4</v>
      </c>
      <c r="E16" s="6" t="s">
        <v>8</v>
      </c>
      <c r="F16" s="6" t="s">
        <v>18</v>
      </c>
    </row>
    <row r="17" spans="1:6" s="7" customFormat="1" ht="21" customHeight="1" x14ac:dyDescent="0.25">
      <c r="A17" s="378"/>
      <c r="B17" s="6">
        <v>14</v>
      </c>
      <c r="C17" s="7" t="s">
        <v>529</v>
      </c>
      <c r="D17" s="8">
        <f>+'RVK ÍBUDARHUSNÆDI'!D40</f>
        <v>1</v>
      </c>
      <c r="E17" s="6" t="s">
        <v>8</v>
      </c>
      <c r="F17" s="6" t="s">
        <v>18</v>
      </c>
    </row>
    <row r="18" spans="1:6" s="7" customFormat="1" ht="21" customHeight="1" x14ac:dyDescent="0.25">
      <c r="A18" s="378"/>
      <c r="B18" s="6">
        <v>15</v>
      </c>
      <c r="C18" s="7" t="s">
        <v>503</v>
      </c>
      <c r="D18" s="8">
        <f>+'RVK ÍBUDARHUSNÆDI'!D41</f>
        <v>1</v>
      </c>
      <c r="E18" s="6" t="s">
        <v>8</v>
      </c>
      <c r="F18" s="6" t="s">
        <v>18</v>
      </c>
    </row>
    <row r="19" spans="1:6" s="7" customFormat="1" ht="21" customHeight="1" x14ac:dyDescent="0.25">
      <c r="A19" s="378"/>
      <c r="B19" s="6">
        <v>16</v>
      </c>
      <c r="C19" s="7" t="s">
        <v>516</v>
      </c>
      <c r="D19" s="8">
        <f>+'RVK ÍBUDARHUSNÆDI'!D42</f>
        <v>3</v>
      </c>
      <c r="E19" s="6" t="s">
        <v>8</v>
      </c>
      <c r="F19" s="6" t="s">
        <v>18</v>
      </c>
    </row>
    <row r="20" spans="1:6" s="7" customFormat="1" ht="21" customHeight="1" x14ac:dyDescent="0.25">
      <c r="A20"/>
      <c r="B20" s="6">
        <v>17</v>
      </c>
      <c r="C20" s="7" t="s">
        <v>23</v>
      </c>
      <c r="D20" s="8">
        <f>+'RVK ÍBUDARHUSNÆDI'!D43</f>
        <v>1</v>
      </c>
      <c r="E20" s="6" t="s">
        <v>24</v>
      </c>
      <c r="F20" s="6" t="s">
        <v>18</v>
      </c>
    </row>
    <row r="21" spans="1:6" s="9" customFormat="1" ht="21" customHeight="1" x14ac:dyDescent="0.25">
      <c r="A21"/>
      <c r="B21" s="6">
        <v>18</v>
      </c>
      <c r="C21" s="7" t="s">
        <v>25</v>
      </c>
      <c r="D21" s="8">
        <f>+'RVK ÍBUDARHUSNÆDI'!D44</f>
        <v>1</v>
      </c>
      <c r="E21" s="6" t="s">
        <v>24</v>
      </c>
      <c r="F21" s="6" t="s">
        <v>18</v>
      </c>
    </row>
    <row r="22" spans="1:6" s="7" customFormat="1" ht="21" customHeight="1" x14ac:dyDescent="0.25">
      <c r="A22"/>
      <c r="B22" s="6">
        <v>19</v>
      </c>
      <c r="C22" s="7" t="s">
        <v>26</v>
      </c>
      <c r="D22" s="8">
        <f>+'RVK ÍBUDARHUSNÆDI'!D45</f>
        <v>4</v>
      </c>
      <c r="E22" s="6" t="s">
        <v>24</v>
      </c>
      <c r="F22" s="6" t="s">
        <v>18</v>
      </c>
    </row>
    <row r="23" spans="1:6" s="7" customFormat="1" ht="21" customHeight="1" x14ac:dyDescent="0.25">
      <c r="A23"/>
      <c r="B23" s="6">
        <v>20</v>
      </c>
      <c r="C23" s="7" t="s">
        <v>27</v>
      </c>
      <c r="D23" s="8">
        <f>+'RVK ÍBUDARHUSNÆDI'!D46</f>
        <v>5</v>
      </c>
      <c r="E23" s="6" t="s">
        <v>24</v>
      </c>
      <c r="F23" s="6" t="s">
        <v>24</v>
      </c>
    </row>
    <row r="24" spans="1:6" s="7" customFormat="1" ht="21" customHeight="1" x14ac:dyDescent="0.25">
      <c r="A24"/>
      <c r="B24" s="6">
        <v>21</v>
      </c>
      <c r="C24" s="7" t="s">
        <v>28</v>
      </c>
      <c r="D24" s="8">
        <f>+'RVK ÍBUDARHUSNÆDI'!D47</f>
        <v>5</v>
      </c>
      <c r="E24" s="6" t="s">
        <v>24</v>
      </c>
      <c r="F24" s="6" t="s">
        <v>24</v>
      </c>
    </row>
    <row r="25" spans="1:6" s="7" customFormat="1" ht="21" customHeight="1" x14ac:dyDescent="0.25">
      <c r="A25"/>
      <c r="B25" s="6">
        <v>22</v>
      </c>
      <c r="C25" s="7" t="s">
        <v>29</v>
      </c>
      <c r="D25" s="8">
        <f>+'RVK ÍBUDARHUSNÆDI'!D48</f>
        <v>2</v>
      </c>
      <c r="E25" s="6" t="s">
        <v>24</v>
      </c>
      <c r="F25" s="6" t="s">
        <v>24</v>
      </c>
    </row>
    <row r="26" spans="1:6" s="7" customFormat="1" ht="21" customHeight="1" x14ac:dyDescent="0.25">
      <c r="A26"/>
      <c r="B26" s="6">
        <v>23</v>
      </c>
      <c r="C26" s="7" t="s">
        <v>30</v>
      </c>
      <c r="D26" s="8">
        <f>+'RVK ÍBUDARHUSNÆDI'!D49</f>
        <v>4</v>
      </c>
      <c r="E26" s="6" t="s">
        <v>24</v>
      </c>
      <c r="F26" s="6" t="s">
        <v>24</v>
      </c>
    </row>
    <row r="27" spans="1:6" s="7" customFormat="1" ht="21" customHeight="1" x14ac:dyDescent="0.25">
      <c r="A27"/>
      <c r="B27" s="6">
        <v>24</v>
      </c>
      <c r="C27" s="7" t="s">
        <v>31</v>
      </c>
      <c r="D27" s="8">
        <f>+'RVK ÍBUDARHUSNÆDI'!D50</f>
        <v>1</v>
      </c>
      <c r="E27" s="6" t="s">
        <v>24</v>
      </c>
      <c r="F27" s="6" t="s">
        <v>32</v>
      </c>
    </row>
    <row r="28" spans="1:6" s="7" customFormat="1" ht="21" customHeight="1" x14ac:dyDescent="0.25">
      <c r="A28"/>
      <c r="B28" s="6">
        <v>25</v>
      </c>
      <c r="C28" s="7" t="s">
        <v>33</v>
      </c>
      <c r="D28" s="8">
        <f>+'RVK ÍBUDARHUSNÆDI'!D51</f>
        <v>2</v>
      </c>
      <c r="E28" s="6" t="s">
        <v>24</v>
      </c>
      <c r="F28" s="6" t="s">
        <v>32</v>
      </c>
    </row>
    <row r="29" spans="1:6" s="7" customFormat="1" ht="21" customHeight="1" x14ac:dyDescent="0.25">
      <c r="A29"/>
      <c r="B29" s="6">
        <v>26</v>
      </c>
      <c r="C29" s="7" t="s">
        <v>34</v>
      </c>
      <c r="D29" s="8">
        <f>+'RVK ÍBUDARHUSNÆDI'!D52</f>
        <v>2</v>
      </c>
      <c r="E29" s="6" t="s">
        <v>24</v>
      </c>
      <c r="F29" s="6" t="s">
        <v>32</v>
      </c>
    </row>
    <row r="30" spans="1:6" s="7" customFormat="1" ht="21" customHeight="1" x14ac:dyDescent="0.25">
      <c r="A30" s="372"/>
      <c r="B30" s="6">
        <v>27</v>
      </c>
      <c r="C30" s="7" t="s">
        <v>530</v>
      </c>
      <c r="D30" s="8">
        <f>+'RVK ÍBUDARHUSNÆDI'!D53</f>
        <v>2</v>
      </c>
      <c r="E30" s="6" t="s">
        <v>24</v>
      </c>
      <c r="F30" s="6" t="s">
        <v>32</v>
      </c>
    </row>
    <row r="31" spans="1:6" s="7" customFormat="1" ht="21" customHeight="1" x14ac:dyDescent="0.25">
      <c r="A31"/>
      <c r="B31" s="6">
        <v>28</v>
      </c>
      <c r="C31" s="7" t="s">
        <v>35</v>
      </c>
      <c r="D31" s="8">
        <f>+'RVK ÍBUDARHUSNÆDI'!D54</f>
        <v>4</v>
      </c>
      <c r="E31" s="6" t="s">
        <v>24</v>
      </c>
      <c r="F31" s="6" t="s">
        <v>24</v>
      </c>
    </row>
    <row r="32" spans="1:6" s="7" customFormat="1" ht="21" customHeight="1" x14ac:dyDescent="0.25">
      <c r="A32"/>
      <c r="B32" s="6">
        <v>29</v>
      </c>
      <c r="C32" s="7" t="s">
        <v>36</v>
      </c>
      <c r="D32" s="8">
        <f>+'RVK ÍBUDARHUSNÆDI'!D55</f>
        <v>1</v>
      </c>
      <c r="E32" s="6" t="s">
        <v>24</v>
      </c>
      <c r="F32" s="6" t="s">
        <v>32</v>
      </c>
    </row>
    <row r="33" spans="1:12" s="7" customFormat="1" ht="21" customHeight="1" x14ac:dyDescent="0.25">
      <c r="A33"/>
      <c r="B33" s="6">
        <v>30</v>
      </c>
      <c r="C33" s="7" t="s">
        <v>37</v>
      </c>
      <c r="D33" s="8">
        <f>+'RVK ÍBUDARHUSNÆDI'!D56</f>
        <v>1</v>
      </c>
      <c r="E33" s="6" t="s">
        <v>24</v>
      </c>
      <c r="F33" s="6" t="s">
        <v>32</v>
      </c>
    </row>
    <row r="34" spans="1:12" s="7" customFormat="1" ht="21" customHeight="1" x14ac:dyDescent="0.25">
      <c r="A34"/>
      <c r="B34" s="6">
        <v>31</v>
      </c>
      <c r="C34" s="7" t="s">
        <v>38</v>
      </c>
      <c r="D34" s="8">
        <f>+'RVK ÍBUDARHUSNÆDI'!D57</f>
        <v>1</v>
      </c>
      <c r="E34" s="6" t="s">
        <v>24</v>
      </c>
      <c r="F34" s="6" t="s">
        <v>32</v>
      </c>
    </row>
    <row r="35" spans="1:12" s="7" customFormat="1" ht="21" customHeight="1" x14ac:dyDescent="0.25">
      <c r="A35"/>
      <c r="B35" s="6">
        <v>32</v>
      </c>
      <c r="C35" s="7" t="s">
        <v>39</v>
      </c>
      <c r="D35" s="8">
        <f>+'RVK ÍBUDARHUSNÆDI'!D58</f>
        <v>1</v>
      </c>
      <c r="E35" s="6" t="s">
        <v>24</v>
      </c>
      <c r="F35" s="6" t="s">
        <v>32</v>
      </c>
    </row>
    <row r="36" spans="1:12" s="7" customFormat="1" ht="21" customHeight="1" x14ac:dyDescent="0.25">
      <c r="A36"/>
      <c r="B36" s="6">
        <v>33</v>
      </c>
      <c r="C36" s="140" t="s">
        <v>494</v>
      </c>
      <c r="D36" s="374">
        <f>+'RVK ÍBUDARHUSNÆDI'!D59</f>
        <v>2</v>
      </c>
      <c r="E36" s="373" t="s">
        <v>24</v>
      </c>
      <c r="F36" s="373" t="s">
        <v>32</v>
      </c>
      <c r="H36" s="7" t="s">
        <v>488</v>
      </c>
      <c r="I36" s="7" t="s">
        <v>322</v>
      </c>
      <c r="J36" s="7" t="s">
        <v>491</v>
      </c>
      <c r="K36" s="7" t="s">
        <v>492</v>
      </c>
      <c r="L36" s="7" t="s">
        <v>493</v>
      </c>
    </row>
    <row r="37" spans="1:12" s="9" customFormat="1" ht="21" customHeight="1" x14ac:dyDescent="0.25">
      <c r="A37"/>
      <c r="B37" s="6">
        <v>34</v>
      </c>
      <c r="C37" s="7" t="s">
        <v>40</v>
      </c>
      <c r="D37" s="8">
        <f>+'RVK ÍBUDARHUSNÆDI'!D60</f>
        <v>1</v>
      </c>
      <c r="E37" s="6" t="s">
        <v>41</v>
      </c>
      <c r="F37" s="6" t="s">
        <v>9</v>
      </c>
      <c r="H37" s="9" t="s">
        <v>489</v>
      </c>
      <c r="I37" s="7">
        <v>67</v>
      </c>
      <c r="J37" s="9">
        <v>195</v>
      </c>
      <c r="K37" s="9">
        <v>195</v>
      </c>
      <c r="L37" s="9">
        <v>70</v>
      </c>
    </row>
    <row r="38" spans="1:12" s="9" customFormat="1" ht="21" customHeight="1" x14ac:dyDescent="0.25">
      <c r="A38"/>
      <c r="B38" s="6">
        <v>35</v>
      </c>
      <c r="C38" s="7" t="s">
        <v>42</v>
      </c>
      <c r="D38" s="8">
        <f>+'RVK ÍBUDARHUSNÆDI'!D61</f>
        <v>1</v>
      </c>
      <c r="E38" s="6" t="s">
        <v>41</v>
      </c>
      <c r="F38" s="6" t="s">
        <v>9</v>
      </c>
      <c r="H38" s="9" t="s">
        <v>490</v>
      </c>
      <c r="I38" s="7">
        <v>9500</v>
      </c>
    </row>
    <row r="39" spans="1:12" s="10" customFormat="1" ht="21" customHeight="1" x14ac:dyDescent="0.25">
      <c r="A39"/>
      <c r="B39" s="6">
        <v>36</v>
      </c>
      <c r="C39" s="7" t="s">
        <v>43</v>
      </c>
      <c r="D39" s="8">
        <f>+'RVK ÍBUDARHUSNÆDI'!D62</f>
        <v>1</v>
      </c>
      <c r="E39" s="6" t="s">
        <v>41</v>
      </c>
      <c r="F39" s="6" t="s">
        <v>9</v>
      </c>
    </row>
    <row r="40" spans="1:12" s="10" customFormat="1" ht="21" customHeight="1" x14ac:dyDescent="0.25">
      <c r="A40"/>
      <c r="B40" s="6">
        <v>37</v>
      </c>
      <c r="C40" s="7" t="s">
        <v>44</v>
      </c>
      <c r="D40" s="8">
        <f>+'RVK ÍBUDARHUSNÆDI'!D63</f>
        <v>3</v>
      </c>
      <c r="E40" s="6" t="s">
        <v>41</v>
      </c>
      <c r="F40" s="6" t="s">
        <v>9</v>
      </c>
    </row>
    <row r="41" spans="1:12" s="10" customFormat="1" ht="21" customHeight="1" x14ac:dyDescent="0.25">
      <c r="A41"/>
      <c r="B41" s="6">
        <v>38</v>
      </c>
      <c r="C41" s="7" t="s">
        <v>45</v>
      </c>
      <c r="D41" s="8">
        <f>+'RVK ÍBUDARHUSNÆDI'!D64</f>
        <v>3</v>
      </c>
      <c r="E41" s="6" t="s">
        <v>41</v>
      </c>
      <c r="F41" s="6" t="s">
        <v>9</v>
      </c>
    </row>
    <row r="42" spans="1:12" s="7" customFormat="1" ht="21" customHeight="1" x14ac:dyDescent="0.25">
      <c r="A42"/>
      <c r="B42" s="6">
        <v>39</v>
      </c>
      <c r="C42" s="7" t="s">
        <v>46</v>
      </c>
      <c r="D42" s="8">
        <f>+'RVK ÍBUDARHUSNÆDI'!D65</f>
        <v>4</v>
      </c>
      <c r="E42" s="6" t="s">
        <v>41</v>
      </c>
      <c r="F42" s="6" t="s">
        <v>9</v>
      </c>
    </row>
    <row r="43" spans="1:12" s="9" customFormat="1" ht="21" customHeight="1" x14ac:dyDescent="0.25">
      <c r="A43"/>
      <c r="B43" s="6">
        <v>40</v>
      </c>
      <c r="C43" s="7" t="s">
        <v>47</v>
      </c>
      <c r="D43" s="8">
        <f>+'RVK ÍBUDARHUSNÆDI'!D66</f>
        <v>1</v>
      </c>
      <c r="E43" s="6" t="s">
        <v>41</v>
      </c>
      <c r="F43" s="6" t="s">
        <v>9</v>
      </c>
    </row>
    <row r="44" spans="1:12" s="7" customFormat="1" ht="21" customHeight="1" x14ac:dyDescent="0.25">
      <c r="A44"/>
      <c r="B44" s="6">
        <v>41</v>
      </c>
      <c r="C44" s="7" t="s">
        <v>48</v>
      </c>
      <c r="D44" s="8">
        <f>+'RVK ÍBUDARHUSNÆDI'!D67</f>
        <v>4</v>
      </c>
      <c r="E44" s="6" t="s">
        <v>41</v>
      </c>
      <c r="F44" s="6" t="s">
        <v>49</v>
      </c>
    </row>
    <row r="45" spans="1:12" s="9" customFormat="1" ht="21" customHeight="1" x14ac:dyDescent="0.25">
      <c r="A45"/>
      <c r="B45" s="6">
        <v>42</v>
      </c>
      <c r="C45" s="7" t="s">
        <v>50</v>
      </c>
      <c r="D45" s="8">
        <f>+'RVK ÍBUDARHUSNÆDI'!D68</f>
        <v>1</v>
      </c>
      <c r="E45" s="6" t="s">
        <v>41</v>
      </c>
      <c r="F45" s="6" t="s">
        <v>49</v>
      </c>
    </row>
    <row r="46" spans="1:12" s="9" customFormat="1" ht="21" customHeight="1" x14ac:dyDescent="0.25">
      <c r="A46"/>
      <c r="B46" s="6">
        <v>43</v>
      </c>
      <c r="C46" s="7" t="s">
        <v>51</v>
      </c>
      <c r="D46" s="8">
        <f>+'RVK ÍBUDARHUSNÆDI'!D69</f>
        <v>1</v>
      </c>
      <c r="E46" s="6" t="s">
        <v>41</v>
      </c>
      <c r="F46" s="6" t="s">
        <v>49</v>
      </c>
    </row>
    <row r="47" spans="1:12" s="9" customFormat="1" ht="21" customHeight="1" x14ac:dyDescent="0.25">
      <c r="A47"/>
      <c r="B47" s="6">
        <v>44</v>
      </c>
      <c r="C47" s="7" t="s">
        <v>52</v>
      </c>
      <c r="D47" s="8">
        <f>+'RVK ÍBUDARHUSNÆDI'!D70</f>
        <v>1</v>
      </c>
      <c r="E47" s="6" t="s">
        <v>41</v>
      </c>
      <c r="F47" s="6" t="s">
        <v>49</v>
      </c>
    </row>
    <row r="48" spans="1:12" s="7" customFormat="1" ht="21" customHeight="1" x14ac:dyDescent="0.25">
      <c r="A48"/>
      <c r="B48" s="6">
        <v>45</v>
      </c>
      <c r="C48" s="7" t="s">
        <v>53</v>
      </c>
      <c r="D48" s="8">
        <f>+'RVK ÍBUDARHUSNÆDI'!D71</f>
        <v>1</v>
      </c>
      <c r="E48" s="6" t="s">
        <v>41</v>
      </c>
      <c r="F48" s="6" t="s">
        <v>49</v>
      </c>
    </row>
    <row r="49" spans="1:6" s="7" customFormat="1" ht="21" customHeight="1" x14ac:dyDescent="0.25">
      <c r="A49" s="378"/>
      <c r="B49" s="6">
        <v>46</v>
      </c>
      <c r="C49" s="7" t="s">
        <v>498</v>
      </c>
      <c r="D49" s="8">
        <f>+'RVK ÍBUDARHUSNÆDI'!D72</f>
        <v>2</v>
      </c>
      <c r="E49" s="6" t="s">
        <v>41</v>
      </c>
      <c r="F49" s="6" t="s">
        <v>49</v>
      </c>
    </row>
    <row r="50" spans="1:6" s="7" customFormat="1" ht="21" customHeight="1" x14ac:dyDescent="0.25">
      <c r="A50"/>
      <c r="B50" s="6">
        <v>47</v>
      </c>
      <c r="C50" s="7" t="s">
        <v>54</v>
      </c>
      <c r="D50" s="8">
        <f>+'RVK ÍBUDARHUSNÆDI'!D73</f>
        <v>1</v>
      </c>
      <c r="E50" s="6" t="s">
        <v>41</v>
      </c>
      <c r="F50" s="6" t="s">
        <v>49</v>
      </c>
    </row>
    <row r="51" spans="1:6" s="7" customFormat="1" ht="21" customHeight="1" x14ac:dyDescent="0.25">
      <c r="A51"/>
      <c r="B51" s="6">
        <v>48</v>
      </c>
      <c r="C51" s="7" t="s">
        <v>499</v>
      </c>
      <c r="D51" s="374">
        <f>+'RVK ÍBUDARHUSNÆDI'!D74</f>
        <v>2</v>
      </c>
      <c r="E51" s="6" t="s">
        <v>41</v>
      </c>
      <c r="F51" s="6" t="s">
        <v>49</v>
      </c>
    </row>
    <row r="52" spans="1:6" s="7" customFormat="1" ht="21" customHeight="1" x14ac:dyDescent="0.25">
      <c r="A52"/>
      <c r="B52" s="6">
        <v>49</v>
      </c>
      <c r="C52" s="7" t="s">
        <v>56</v>
      </c>
      <c r="D52" s="374">
        <f>+'RVK ÍBUDARHUSNÆDI'!D75</f>
        <v>1</v>
      </c>
      <c r="E52" s="6" t="s">
        <v>41</v>
      </c>
      <c r="F52" s="6" t="s">
        <v>49</v>
      </c>
    </row>
    <row r="53" spans="1:6" s="7" customFormat="1" ht="21" customHeight="1" x14ac:dyDescent="0.25">
      <c r="A53"/>
      <c r="B53" s="6">
        <v>50</v>
      </c>
      <c r="C53" s="7" t="s">
        <v>57</v>
      </c>
      <c r="D53" s="374">
        <f>+'RVK ÍBUDARHUSNÆDI'!D76</f>
        <v>2</v>
      </c>
      <c r="E53" s="6" t="s">
        <v>41</v>
      </c>
      <c r="F53" s="6" t="s">
        <v>49</v>
      </c>
    </row>
    <row r="54" spans="1:6" s="7" customFormat="1" ht="21" customHeight="1" x14ac:dyDescent="0.25">
      <c r="A54"/>
      <c r="B54" s="6">
        <v>51</v>
      </c>
      <c r="C54" s="7" t="s">
        <v>58</v>
      </c>
      <c r="D54" s="374">
        <f>+'RVK ÍBUDARHUSNÆDI'!D77</f>
        <v>1</v>
      </c>
      <c r="E54" s="6" t="s">
        <v>41</v>
      </c>
      <c r="F54" s="6" t="s">
        <v>49</v>
      </c>
    </row>
    <row r="55" spans="1:6" s="7" customFormat="1" ht="21" customHeight="1" x14ac:dyDescent="0.25">
      <c r="A55"/>
      <c r="B55" s="6">
        <v>52</v>
      </c>
      <c r="C55" s="7" t="s">
        <v>59</v>
      </c>
      <c r="D55" s="8">
        <f>+'RVK ÍBUDARHUSNÆDI'!D78</f>
        <v>4</v>
      </c>
      <c r="E55" s="6" t="s">
        <v>41</v>
      </c>
      <c r="F55" s="6" t="s">
        <v>49</v>
      </c>
    </row>
    <row r="56" spans="1:6" s="10" customFormat="1" ht="21" customHeight="1" x14ac:dyDescent="0.25">
      <c r="A56"/>
      <c r="B56" s="6">
        <v>53</v>
      </c>
      <c r="C56" s="7" t="s">
        <v>507</v>
      </c>
      <c r="D56" s="8">
        <f>+'RVK ÍBUDARHUSNÆDI'!D79</f>
        <v>2</v>
      </c>
      <c r="E56" s="6" t="s">
        <v>41</v>
      </c>
      <c r="F56" s="6" t="s">
        <v>49</v>
      </c>
    </row>
    <row r="57" spans="1:6" s="7" customFormat="1" ht="21" customHeight="1" x14ac:dyDescent="0.25">
      <c r="A57"/>
      <c r="B57" s="6">
        <v>54</v>
      </c>
      <c r="C57" s="7" t="s">
        <v>60</v>
      </c>
      <c r="D57" s="8">
        <f>+'RVK ÍBUDARHUSNÆDI'!D80</f>
        <v>4</v>
      </c>
      <c r="E57" s="6" t="s">
        <v>41</v>
      </c>
      <c r="F57" s="6" t="s">
        <v>49</v>
      </c>
    </row>
    <row r="58" spans="1:6" s="10" customFormat="1" ht="21" customHeight="1" x14ac:dyDescent="0.25">
      <c r="A58"/>
      <c r="B58" s="6">
        <v>55</v>
      </c>
      <c r="C58" s="7" t="s">
        <v>61</v>
      </c>
      <c r="D58" s="8">
        <f>+'RVK ÍBUDARHUSNÆDI'!D81</f>
        <v>1</v>
      </c>
      <c r="E58" s="6" t="s">
        <v>41</v>
      </c>
      <c r="F58" s="6" t="s">
        <v>49</v>
      </c>
    </row>
    <row r="59" spans="1:6" s="10" customFormat="1" ht="21" customHeight="1" x14ac:dyDescent="0.25">
      <c r="A59"/>
      <c r="B59" s="6">
        <v>56</v>
      </c>
      <c r="C59" s="7" t="s">
        <v>62</v>
      </c>
      <c r="D59" s="8">
        <f>+'RVK ÍBUDARHUSNÆDI'!D82</f>
        <v>1</v>
      </c>
      <c r="E59" s="6" t="s">
        <v>41</v>
      </c>
      <c r="F59" s="6" t="s">
        <v>49</v>
      </c>
    </row>
    <row r="60" spans="1:6" s="10" customFormat="1" ht="21" customHeight="1" x14ac:dyDescent="0.25">
      <c r="A60"/>
      <c r="B60" s="6">
        <v>57</v>
      </c>
      <c r="C60" s="7" t="s">
        <v>63</v>
      </c>
      <c r="D60" s="8">
        <f>+'RVK ÍBUDARHUSNÆDI'!D83</f>
        <v>2</v>
      </c>
      <c r="E60" s="6" t="s">
        <v>41</v>
      </c>
      <c r="F60" s="6" t="s">
        <v>49</v>
      </c>
    </row>
    <row r="61" spans="1:6" s="10" customFormat="1" ht="21" customHeight="1" x14ac:dyDescent="0.25">
      <c r="A61"/>
      <c r="B61" s="6">
        <v>58</v>
      </c>
      <c r="C61" s="7" t="s">
        <v>64</v>
      </c>
      <c r="D61" s="8">
        <f>+'RVK ÍBUDARHUSNÆDI'!D84</f>
        <v>2</v>
      </c>
      <c r="E61" s="6" t="s">
        <v>41</v>
      </c>
      <c r="F61" s="6" t="s">
        <v>49</v>
      </c>
    </row>
    <row r="62" spans="1:6" s="10" customFormat="1" ht="21" customHeight="1" x14ac:dyDescent="0.25">
      <c r="A62"/>
      <c r="B62" s="6">
        <v>59</v>
      </c>
      <c r="C62" s="7" t="s">
        <v>65</v>
      </c>
      <c r="D62" s="8">
        <f>+'RVK ÍBUDARHUSNÆDI'!D85</f>
        <v>1</v>
      </c>
      <c r="E62" s="6" t="s">
        <v>41</v>
      </c>
      <c r="F62" s="6" t="s">
        <v>49</v>
      </c>
    </row>
    <row r="63" spans="1:6" s="10" customFormat="1" ht="21" customHeight="1" x14ac:dyDescent="0.25">
      <c r="A63"/>
      <c r="B63" s="6">
        <v>60</v>
      </c>
      <c r="C63" s="7" t="s">
        <v>66</v>
      </c>
      <c r="D63" s="8">
        <f>+'RVK ÍBUDARHUSNÆDI'!D86</f>
        <v>1</v>
      </c>
      <c r="E63" s="6" t="s">
        <v>41</v>
      </c>
      <c r="F63" s="6" t="s">
        <v>49</v>
      </c>
    </row>
    <row r="64" spans="1:6" s="10" customFormat="1" ht="21" customHeight="1" x14ac:dyDescent="0.25">
      <c r="A64"/>
      <c r="B64" s="6">
        <v>61</v>
      </c>
      <c r="C64" s="7" t="s">
        <v>67</v>
      </c>
      <c r="D64" s="8">
        <f>+'RVK ÍBUDARHUSNÆDI'!D87</f>
        <v>2</v>
      </c>
      <c r="E64" s="6" t="s">
        <v>41</v>
      </c>
      <c r="F64" s="6" t="s">
        <v>49</v>
      </c>
    </row>
    <row r="65" spans="1:6" s="7" customFormat="1" ht="21" customHeight="1" x14ac:dyDescent="0.25">
      <c r="A65"/>
      <c r="B65" s="6">
        <v>62</v>
      </c>
      <c r="C65" s="7" t="s">
        <v>68</v>
      </c>
      <c r="D65" s="8">
        <f>+'RVK ÍBUDARHUSNÆDI'!D88</f>
        <v>5</v>
      </c>
      <c r="E65" s="6" t="s">
        <v>41</v>
      </c>
      <c r="F65" s="6" t="s">
        <v>49</v>
      </c>
    </row>
    <row r="66" spans="1:6" s="7" customFormat="1" ht="21" customHeight="1" x14ac:dyDescent="0.25">
      <c r="A66"/>
      <c r="B66" s="6">
        <v>63</v>
      </c>
      <c r="C66" s="7" t="s">
        <v>69</v>
      </c>
      <c r="D66" s="8">
        <f>+'RVK ÍBUDARHUSNÆDI'!D89</f>
        <v>4</v>
      </c>
      <c r="E66" s="6" t="s">
        <v>70</v>
      </c>
      <c r="F66" s="6" t="s">
        <v>71</v>
      </c>
    </row>
    <row r="67" spans="1:6" s="7" customFormat="1" ht="21" customHeight="1" x14ac:dyDescent="0.25">
      <c r="A67" s="378"/>
      <c r="B67" s="6">
        <v>64</v>
      </c>
      <c r="C67" s="7" t="s">
        <v>514</v>
      </c>
      <c r="D67" s="8">
        <f>+'RVK ÍBUDARHUSNÆDI'!D90</f>
        <v>2</v>
      </c>
      <c r="E67" s="6" t="s">
        <v>70</v>
      </c>
      <c r="F67" s="6" t="s">
        <v>71</v>
      </c>
    </row>
    <row r="68" spans="1:6" s="7" customFormat="1" ht="21" customHeight="1" x14ac:dyDescent="0.25">
      <c r="A68" s="378"/>
      <c r="B68" s="6">
        <v>65</v>
      </c>
      <c r="C68" s="7" t="s">
        <v>515</v>
      </c>
      <c r="D68" s="8">
        <f>+'RVK ÍBUDARHUSNÆDI'!D91</f>
        <v>3</v>
      </c>
      <c r="E68" s="6" t="s">
        <v>70</v>
      </c>
      <c r="F68" s="6" t="s">
        <v>71</v>
      </c>
    </row>
    <row r="69" spans="1:6" s="7" customFormat="1" ht="21" customHeight="1" x14ac:dyDescent="0.25">
      <c r="A69" s="367"/>
      <c r="B69" s="6">
        <v>66</v>
      </c>
      <c r="C69" s="7" t="s">
        <v>513</v>
      </c>
      <c r="D69" s="8">
        <f>+'RVK ÍBUDARHUSNÆDI'!D92</f>
        <v>1</v>
      </c>
      <c r="E69" s="6" t="s">
        <v>70</v>
      </c>
      <c r="F69" s="6" t="s">
        <v>71</v>
      </c>
    </row>
    <row r="70" spans="1:6" s="7" customFormat="1" ht="21" customHeight="1" x14ac:dyDescent="0.25">
      <c r="A70" s="367"/>
      <c r="B70" s="6">
        <v>67</v>
      </c>
      <c r="C70" s="7" t="s">
        <v>505</v>
      </c>
      <c r="D70" s="8">
        <f>+'RVK ÍBUDARHUSNÆDI'!D93</f>
        <v>1</v>
      </c>
      <c r="E70" s="6" t="s">
        <v>70</v>
      </c>
      <c r="F70" s="6" t="s">
        <v>71</v>
      </c>
    </row>
    <row r="71" spans="1:6" s="7" customFormat="1" ht="21" customHeight="1" x14ac:dyDescent="0.25">
      <c r="A71" s="378"/>
      <c r="B71" s="6">
        <v>68</v>
      </c>
      <c r="C71" s="7" t="s">
        <v>72</v>
      </c>
      <c r="D71" s="8">
        <f>+'RVK ÍBUDARHUSNÆDI'!D94</f>
        <v>3</v>
      </c>
      <c r="E71" s="6" t="s">
        <v>70</v>
      </c>
      <c r="F71" s="6" t="s">
        <v>71</v>
      </c>
    </row>
    <row r="72" spans="1:6" s="10" customFormat="1" ht="21" customHeight="1" x14ac:dyDescent="0.25">
      <c r="A72"/>
      <c r="B72" s="6">
        <v>69</v>
      </c>
      <c r="C72" s="7" t="s">
        <v>73</v>
      </c>
      <c r="D72" s="8">
        <f>+'RVK ÍBUDARHUSNÆDI'!D95</f>
        <v>2</v>
      </c>
      <c r="E72" s="6" t="s">
        <v>70</v>
      </c>
      <c r="F72" s="6" t="s">
        <v>71</v>
      </c>
    </row>
    <row r="73" spans="1:6" s="10" customFormat="1" ht="21" customHeight="1" x14ac:dyDescent="0.25">
      <c r="A73" s="367"/>
      <c r="B73" s="6">
        <v>70</v>
      </c>
      <c r="C73" s="7" t="s">
        <v>501</v>
      </c>
      <c r="D73" s="8">
        <f>+'RVK ÍBUDARHUSNÆDI'!D96</f>
        <v>1</v>
      </c>
      <c r="E73" s="6" t="s">
        <v>70</v>
      </c>
      <c r="F73" s="6" t="s">
        <v>71</v>
      </c>
    </row>
    <row r="74" spans="1:6" s="10" customFormat="1" ht="21" customHeight="1" x14ac:dyDescent="0.25">
      <c r="A74" s="367"/>
      <c r="B74" s="6">
        <v>71</v>
      </c>
      <c r="C74" s="7" t="s">
        <v>512</v>
      </c>
      <c r="D74" s="8">
        <f>+'RVK ÍBUDARHUSNÆDI'!D97</f>
        <v>3</v>
      </c>
      <c r="E74" s="6" t="s">
        <v>70</v>
      </c>
      <c r="F74" s="6" t="s">
        <v>71</v>
      </c>
    </row>
    <row r="75" spans="1:6" s="7" customFormat="1" ht="21" customHeight="1" x14ac:dyDescent="0.25">
      <c r="A75"/>
      <c r="B75" s="6">
        <v>72</v>
      </c>
      <c r="C75" s="7" t="s">
        <v>74</v>
      </c>
      <c r="D75" s="8">
        <f>+'RVK ÍBUDARHUSNÆDI'!D98</f>
        <v>2</v>
      </c>
      <c r="E75" s="6" t="s">
        <v>70</v>
      </c>
      <c r="F75" s="6" t="s">
        <v>71</v>
      </c>
    </row>
    <row r="76" spans="1:6" s="7" customFormat="1" ht="21" customHeight="1" x14ac:dyDescent="0.25">
      <c r="A76"/>
      <c r="B76" s="6">
        <v>73</v>
      </c>
      <c r="C76" s="7" t="s">
        <v>75</v>
      </c>
      <c r="D76" s="8">
        <f>+'RVK ÍBUDARHUSNÆDI'!D99</f>
        <v>1</v>
      </c>
      <c r="E76" s="6" t="s">
        <v>70</v>
      </c>
      <c r="F76" s="6" t="s">
        <v>71</v>
      </c>
    </row>
    <row r="77" spans="1:6" s="7" customFormat="1" ht="21" customHeight="1" x14ac:dyDescent="0.25">
      <c r="A77"/>
      <c r="B77" s="6">
        <v>74</v>
      </c>
      <c r="C77" s="7" t="s">
        <v>76</v>
      </c>
      <c r="D77" s="8">
        <f>+'RVK ÍBUDARHUSNÆDI'!D100</f>
        <v>1</v>
      </c>
      <c r="E77" s="6" t="s">
        <v>70</v>
      </c>
      <c r="F77" s="6" t="s">
        <v>71</v>
      </c>
    </row>
    <row r="78" spans="1:6" s="7" customFormat="1" ht="21" customHeight="1" x14ac:dyDescent="0.25">
      <c r="A78"/>
      <c r="B78" s="6">
        <v>75</v>
      </c>
      <c r="C78" s="7" t="s">
        <v>77</v>
      </c>
      <c r="D78" s="8">
        <f>+'RVK ÍBUDARHUSNÆDI'!D101</f>
        <v>3</v>
      </c>
      <c r="E78" s="6" t="s">
        <v>70</v>
      </c>
      <c r="F78" s="6" t="s">
        <v>32</v>
      </c>
    </row>
    <row r="79" spans="1:6" s="7" customFormat="1" ht="21" customHeight="1" x14ac:dyDescent="0.25">
      <c r="A79"/>
      <c r="B79" s="6">
        <v>76</v>
      </c>
      <c r="C79" s="7" t="s">
        <v>78</v>
      </c>
      <c r="D79" s="8">
        <f>+'RVK ÍBUDARHUSNÆDI'!D102</f>
        <v>5</v>
      </c>
      <c r="E79" s="6" t="s">
        <v>70</v>
      </c>
      <c r="F79" s="6" t="s">
        <v>71</v>
      </c>
    </row>
    <row r="80" spans="1:6" s="7" customFormat="1" ht="21" customHeight="1" x14ac:dyDescent="0.25">
      <c r="A80"/>
      <c r="B80" s="6">
        <v>77</v>
      </c>
      <c r="C80" s="7" t="s">
        <v>79</v>
      </c>
      <c r="D80" s="8">
        <f>+'RVK ÍBUDARHUSNÆDI'!D103</f>
        <v>1</v>
      </c>
      <c r="E80" s="6" t="s">
        <v>70</v>
      </c>
      <c r="F80" s="6" t="s">
        <v>71</v>
      </c>
    </row>
    <row r="81" spans="1:6" s="7" customFormat="1" ht="21" customHeight="1" x14ac:dyDescent="0.25">
      <c r="A81"/>
      <c r="B81" s="6">
        <v>78</v>
      </c>
      <c r="C81" s="7" t="s">
        <v>532</v>
      </c>
      <c r="D81" s="8">
        <f>+'RVK ÍBUDARHUSNÆDI'!D104</f>
        <v>4</v>
      </c>
      <c r="E81" s="6" t="s">
        <v>70</v>
      </c>
      <c r="F81" s="6" t="s">
        <v>32</v>
      </c>
    </row>
    <row r="82" spans="1:6" s="7" customFormat="1" ht="21" customHeight="1" x14ac:dyDescent="0.25">
      <c r="A82"/>
      <c r="B82" s="6">
        <v>79</v>
      </c>
      <c r="C82" s="7" t="s">
        <v>531</v>
      </c>
      <c r="D82" s="8">
        <f>+'RVK ÍBUDARHUSNÆDI'!D105</f>
        <v>4</v>
      </c>
      <c r="E82" s="6" t="s">
        <v>70</v>
      </c>
      <c r="F82" s="6" t="s">
        <v>32</v>
      </c>
    </row>
    <row r="83" spans="1:6" s="7" customFormat="1" ht="21" customHeight="1" x14ac:dyDescent="0.25">
      <c r="A83"/>
      <c r="B83" s="6">
        <v>80</v>
      </c>
      <c r="C83" s="7" t="s">
        <v>82</v>
      </c>
      <c r="D83" s="8">
        <f>+'RVK ÍBUDARHUSNÆDI'!D106</f>
        <v>4</v>
      </c>
      <c r="E83" s="6" t="s">
        <v>70</v>
      </c>
      <c r="F83" s="6" t="s">
        <v>32</v>
      </c>
    </row>
    <row r="84" spans="1:6" s="7" customFormat="1" ht="21" customHeight="1" x14ac:dyDescent="0.25">
      <c r="A84"/>
      <c r="B84" s="6">
        <v>81</v>
      </c>
      <c r="C84" s="7" t="s">
        <v>83</v>
      </c>
      <c r="D84" s="8">
        <f>+'RVK ÍBUDARHUSNÆDI'!D107</f>
        <v>4</v>
      </c>
      <c r="E84" s="6" t="s">
        <v>84</v>
      </c>
      <c r="F84" s="6" t="s">
        <v>49</v>
      </c>
    </row>
    <row r="85" spans="1:6" s="7" customFormat="1" ht="21" customHeight="1" x14ac:dyDescent="0.25">
      <c r="A85"/>
      <c r="B85" s="6">
        <v>82</v>
      </c>
      <c r="C85" s="7" t="s">
        <v>85</v>
      </c>
      <c r="D85" s="8">
        <f>+'RVK ÍBUDARHUSNÆDI'!D108</f>
        <v>2</v>
      </c>
      <c r="E85" s="6" t="s">
        <v>84</v>
      </c>
      <c r="F85" s="6" t="s">
        <v>86</v>
      </c>
    </row>
    <row r="86" spans="1:6" s="7" customFormat="1" ht="21" customHeight="1" x14ac:dyDescent="0.25">
      <c r="A86"/>
      <c r="B86" s="6">
        <v>83</v>
      </c>
      <c r="C86" s="7" t="s">
        <v>87</v>
      </c>
      <c r="D86" s="8">
        <f>+'RVK ÍBUDARHUSNÆDI'!D109</f>
        <v>1</v>
      </c>
      <c r="E86" s="6" t="s">
        <v>84</v>
      </c>
      <c r="F86" s="6" t="s">
        <v>49</v>
      </c>
    </row>
    <row r="87" spans="1:6" s="7" customFormat="1" ht="21" customHeight="1" x14ac:dyDescent="0.25">
      <c r="A87"/>
      <c r="B87" s="6">
        <v>84</v>
      </c>
      <c r="C87" s="7" t="s">
        <v>88</v>
      </c>
      <c r="D87" s="8">
        <f>+'RVK ÍBUDARHUSNÆDI'!D110</f>
        <v>4</v>
      </c>
      <c r="E87" s="6" t="s">
        <v>84</v>
      </c>
      <c r="F87" s="6" t="s">
        <v>86</v>
      </c>
    </row>
    <row r="88" spans="1:6" s="7" customFormat="1" ht="21" customHeight="1" x14ac:dyDescent="0.25">
      <c r="A88"/>
      <c r="B88" s="6">
        <v>85</v>
      </c>
      <c r="C88" s="7" t="s">
        <v>89</v>
      </c>
      <c r="D88" s="8">
        <f>+'RVK ÍBUDARHUSNÆDI'!D111</f>
        <v>1</v>
      </c>
      <c r="E88" s="6" t="s">
        <v>84</v>
      </c>
      <c r="F88" s="6" t="s">
        <v>86</v>
      </c>
    </row>
    <row r="89" spans="1:6" s="7" customFormat="1" ht="21" customHeight="1" x14ac:dyDescent="0.25">
      <c r="A89"/>
      <c r="B89" s="6">
        <v>86</v>
      </c>
      <c r="C89" s="7" t="s">
        <v>90</v>
      </c>
      <c r="D89" s="8">
        <f>+'RVK ÍBUDARHUSNÆDI'!D112</f>
        <v>2</v>
      </c>
      <c r="E89" s="6" t="s">
        <v>84</v>
      </c>
      <c r="F89" s="6" t="s">
        <v>86</v>
      </c>
    </row>
    <row r="90" spans="1:6" s="9" customFormat="1" ht="21" customHeight="1" x14ac:dyDescent="0.25">
      <c r="A90"/>
      <c r="B90" s="6">
        <v>87</v>
      </c>
      <c r="C90" s="7" t="s">
        <v>91</v>
      </c>
      <c r="D90" s="8">
        <f>+'RVK ÍBUDARHUSNÆDI'!D113</f>
        <v>1</v>
      </c>
      <c r="E90" s="6" t="s">
        <v>84</v>
      </c>
      <c r="F90" s="6" t="s">
        <v>86</v>
      </c>
    </row>
    <row r="91" spans="1:6" s="7" customFormat="1" ht="21" customHeight="1" x14ac:dyDescent="0.25">
      <c r="A91"/>
      <c r="B91" s="6">
        <v>88</v>
      </c>
      <c r="C91" s="7" t="s">
        <v>92</v>
      </c>
      <c r="D91" s="8">
        <f>+'RVK ÍBUDARHUSNÆDI'!D114</f>
        <v>2</v>
      </c>
      <c r="E91" s="6" t="s">
        <v>84</v>
      </c>
      <c r="F91" s="6" t="s">
        <v>86</v>
      </c>
    </row>
    <row r="92" spans="1:6" s="7" customFormat="1" ht="21" customHeight="1" x14ac:dyDescent="0.25">
      <c r="A92"/>
      <c r="B92" s="6">
        <v>89</v>
      </c>
      <c r="C92" s="7" t="s">
        <v>93</v>
      </c>
      <c r="D92" s="8">
        <f>+'RVK ÍBUDARHUSNÆDI'!D115</f>
        <v>5</v>
      </c>
      <c r="E92" s="6" t="s">
        <v>84</v>
      </c>
      <c r="F92" s="6" t="s">
        <v>86</v>
      </c>
    </row>
    <row r="93" spans="1:6" s="7" customFormat="1" ht="21" customHeight="1" x14ac:dyDescent="0.25">
      <c r="A93"/>
      <c r="B93" s="6">
        <v>90</v>
      </c>
      <c r="C93" s="7" t="s">
        <v>94</v>
      </c>
      <c r="D93" s="8">
        <f>+'RVK ÍBUDARHUSNÆDI'!D116</f>
        <v>1</v>
      </c>
      <c r="E93" s="6" t="s">
        <v>84</v>
      </c>
      <c r="F93" s="6" t="s">
        <v>86</v>
      </c>
    </row>
    <row r="94" spans="1:6" s="7" customFormat="1" ht="21" customHeight="1" x14ac:dyDescent="0.25">
      <c r="A94"/>
      <c r="B94" s="6">
        <v>91</v>
      </c>
      <c r="C94" s="7" t="s">
        <v>508</v>
      </c>
      <c r="D94" s="8">
        <f>+'RVK ÍBUDARHUSNÆDI'!D117</f>
        <v>3</v>
      </c>
      <c r="E94" s="6" t="s">
        <v>84</v>
      </c>
      <c r="F94" s="6" t="s">
        <v>86</v>
      </c>
    </row>
    <row r="95" spans="1:6" s="7" customFormat="1" ht="21" customHeight="1" x14ac:dyDescent="0.25">
      <c r="A95" s="367"/>
      <c r="B95" s="6">
        <v>92</v>
      </c>
      <c r="C95" s="7" t="s">
        <v>509</v>
      </c>
      <c r="D95" s="8">
        <v>3</v>
      </c>
      <c r="E95" s="6" t="s">
        <v>84</v>
      </c>
      <c r="F95" s="6" t="s">
        <v>86</v>
      </c>
    </row>
    <row r="96" spans="1:6" s="7" customFormat="1" ht="21" customHeight="1" x14ac:dyDescent="0.25">
      <c r="A96"/>
      <c r="B96" s="6">
        <v>93</v>
      </c>
      <c r="C96" s="7" t="s">
        <v>95</v>
      </c>
      <c r="D96" s="8">
        <f>+'RVK ÍBUDARHUSNÆDI'!D119</f>
        <v>2</v>
      </c>
      <c r="E96" s="6" t="s">
        <v>84</v>
      </c>
      <c r="F96" s="6" t="s">
        <v>86</v>
      </c>
    </row>
    <row r="97" spans="1:6" s="7" customFormat="1" ht="21" customHeight="1" x14ac:dyDescent="0.25">
      <c r="A97"/>
      <c r="B97" s="6">
        <v>94</v>
      </c>
      <c r="C97" s="7" t="s">
        <v>520</v>
      </c>
      <c r="D97" s="8">
        <f>+'RVK ÍBUDARHUSNÆDI'!D120</f>
        <v>4</v>
      </c>
      <c r="E97" s="6" t="s">
        <v>84</v>
      </c>
      <c r="F97" s="6" t="s">
        <v>86</v>
      </c>
    </row>
    <row r="98" spans="1:6" s="7" customFormat="1" ht="21" customHeight="1" x14ac:dyDescent="0.25">
      <c r="A98"/>
      <c r="B98" s="6">
        <v>95</v>
      </c>
      <c r="C98" s="7" t="s">
        <v>97</v>
      </c>
      <c r="D98" s="8">
        <f>+'RVK ÍBUDARHUSNÆDI'!D121</f>
        <v>4</v>
      </c>
      <c r="E98" s="6" t="s">
        <v>84</v>
      </c>
      <c r="F98" s="6" t="s">
        <v>86</v>
      </c>
    </row>
    <row r="99" spans="1:6" s="7" customFormat="1" ht="21" customHeight="1" x14ac:dyDescent="0.25">
      <c r="A99"/>
      <c r="B99" s="6">
        <v>96</v>
      </c>
      <c r="C99" s="7" t="s">
        <v>98</v>
      </c>
      <c r="D99" s="8">
        <f>+'RVK ÍBUDARHUSNÆDI'!D122</f>
        <v>5</v>
      </c>
      <c r="E99" s="6" t="s">
        <v>84</v>
      </c>
      <c r="F99" s="6" t="s">
        <v>86</v>
      </c>
    </row>
    <row r="100" spans="1:6" s="7" customFormat="1" ht="21" customHeight="1" x14ac:dyDescent="0.25">
      <c r="A100"/>
      <c r="B100" s="6">
        <v>97</v>
      </c>
      <c r="C100" s="7" t="s">
        <v>99</v>
      </c>
      <c r="D100" s="8">
        <f>+'RVK ÍBUDARHUSNÆDI'!D123</f>
        <v>4</v>
      </c>
      <c r="E100" s="6" t="s">
        <v>84</v>
      </c>
      <c r="F100" s="6" t="s">
        <v>100</v>
      </c>
    </row>
    <row r="101" spans="1:6" s="7" customFormat="1" ht="21" customHeight="1" x14ac:dyDescent="0.25">
      <c r="A101"/>
      <c r="B101" s="6">
        <v>98</v>
      </c>
      <c r="C101" s="7" t="s">
        <v>101</v>
      </c>
      <c r="D101" s="8">
        <f>+'RVK ÍBUDARHUSNÆDI'!D124</f>
        <v>5</v>
      </c>
      <c r="E101" s="6" t="s">
        <v>84</v>
      </c>
      <c r="F101" s="6" t="s">
        <v>100</v>
      </c>
    </row>
    <row r="102" spans="1:6" s="7" customFormat="1" ht="21" customHeight="1" x14ac:dyDescent="0.25">
      <c r="A102"/>
      <c r="B102" s="6">
        <v>99</v>
      </c>
      <c r="C102" s="7" t="s">
        <v>102</v>
      </c>
      <c r="D102" s="8">
        <f>+'RVK ÍBUDARHUSNÆDI'!D125</f>
        <v>5</v>
      </c>
      <c r="E102" s="6" t="s">
        <v>84</v>
      </c>
      <c r="F102" s="6" t="s">
        <v>103</v>
      </c>
    </row>
    <row r="103" spans="1:6" s="7" customFormat="1" ht="21" customHeight="1" x14ac:dyDescent="0.25">
      <c r="A103"/>
      <c r="B103" s="6">
        <v>100</v>
      </c>
      <c r="C103" s="7" t="s">
        <v>104</v>
      </c>
      <c r="D103" s="8">
        <f>+'RVK ÍBUDARHUSNÆDI'!D126</f>
        <v>4</v>
      </c>
      <c r="E103" s="6" t="s">
        <v>84</v>
      </c>
      <c r="F103" s="6" t="s">
        <v>105</v>
      </c>
    </row>
    <row r="104" spans="1:6" s="7" customFormat="1" ht="21" customHeight="1" x14ac:dyDescent="0.25">
      <c r="A104"/>
      <c r="B104" s="6">
        <v>101</v>
      </c>
      <c r="C104" s="7" t="s">
        <v>106</v>
      </c>
      <c r="D104" s="8">
        <f>+'RVK ÍBUDARHUSNÆDI'!D127</f>
        <v>1</v>
      </c>
      <c r="E104" s="6" t="s">
        <v>84</v>
      </c>
      <c r="F104" s="6" t="s">
        <v>105</v>
      </c>
    </row>
    <row r="105" spans="1:6" s="7" customFormat="1" ht="21" customHeight="1" x14ac:dyDescent="0.25">
      <c r="A105" s="367"/>
      <c r="B105" s="6">
        <v>102</v>
      </c>
      <c r="C105" s="7" t="s">
        <v>500</v>
      </c>
      <c r="D105" s="8">
        <f>+'RVK ÍBUDARHUSNÆDI'!D128</f>
        <v>4</v>
      </c>
      <c r="E105" s="6" t="s">
        <v>84</v>
      </c>
      <c r="F105" s="6" t="s">
        <v>105</v>
      </c>
    </row>
    <row r="106" spans="1:6" s="7" customFormat="1" ht="21" customHeight="1" x14ac:dyDescent="0.25">
      <c r="A106"/>
      <c r="B106" s="6">
        <v>103</v>
      </c>
      <c r="C106" s="7" t="s">
        <v>107</v>
      </c>
      <c r="D106" s="8">
        <f>+'RVK ÍBUDARHUSNÆDI'!D129</f>
        <v>1</v>
      </c>
      <c r="E106" s="6" t="s">
        <v>84</v>
      </c>
      <c r="F106" s="6" t="s">
        <v>100</v>
      </c>
    </row>
    <row r="107" spans="1:6" s="7" customFormat="1" ht="21" customHeight="1" x14ac:dyDescent="0.25">
      <c r="A107"/>
      <c r="B107" s="6">
        <v>104</v>
      </c>
      <c r="C107" s="7" t="s">
        <v>108</v>
      </c>
      <c r="D107" s="8">
        <f>+'RVK ÍBUDARHUSNÆDI'!D130</f>
        <v>1</v>
      </c>
      <c r="E107" s="6" t="s">
        <v>84</v>
      </c>
      <c r="F107" s="6" t="s">
        <v>103</v>
      </c>
    </row>
    <row r="108" spans="1:6" s="7" customFormat="1" ht="21" customHeight="1" x14ac:dyDescent="0.25">
      <c r="A108"/>
      <c r="B108" s="6">
        <v>105</v>
      </c>
      <c r="C108" s="7" t="s">
        <v>109</v>
      </c>
      <c r="D108" s="8">
        <f>+'RVK ÍBUDARHUSNÆDI'!D131</f>
        <v>3</v>
      </c>
      <c r="E108" s="6" t="s">
        <v>84</v>
      </c>
      <c r="F108" s="6" t="s">
        <v>103</v>
      </c>
    </row>
    <row r="109" spans="1:6" s="7" customFormat="1" ht="21" customHeight="1" x14ac:dyDescent="0.25">
      <c r="A109"/>
      <c r="B109" s="6">
        <v>106</v>
      </c>
      <c r="C109" s="7" t="s">
        <v>533</v>
      </c>
      <c r="D109" s="8">
        <f>+'RVK ÍBUDARHUSNÆDI'!D132</f>
        <v>4</v>
      </c>
      <c r="E109" s="6" t="s">
        <v>84</v>
      </c>
      <c r="F109" s="6" t="s">
        <v>103</v>
      </c>
    </row>
    <row r="110" spans="1:6" s="7" customFormat="1" ht="21" customHeight="1" x14ac:dyDescent="0.25">
      <c r="A110"/>
      <c r="B110" s="6">
        <v>108</v>
      </c>
      <c r="C110" s="7" t="s">
        <v>112</v>
      </c>
      <c r="D110" s="8">
        <f>+'RVK ÍBUDARHUSNÆDI'!D133</f>
        <v>5</v>
      </c>
      <c r="E110" s="6" t="s">
        <v>84</v>
      </c>
      <c r="F110" s="6" t="s">
        <v>100</v>
      </c>
    </row>
    <row r="111" spans="1:6" s="10" customFormat="1" ht="21" customHeight="1" x14ac:dyDescent="0.25">
      <c r="A111"/>
      <c r="B111" s="6">
        <v>109</v>
      </c>
      <c r="C111" s="7" t="s">
        <v>113</v>
      </c>
      <c r="D111" s="8">
        <f>+'RVK ÍBUDARHUSNÆDI'!D134</f>
        <v>1</v>
      </c>
      <c r="E111" s="6" t="s">
        <v>84</v>
      </c>
      <c r="F111" s="6" t="s">
        <v>100</v>
      </c>
    </row>
    <row r="112" spans="1:6" s="10" customFormat="1" ht="21" customHeight="1" x14ac:dyDescent="0.25">
      <c r="A112"/>
      <c r="B112" s="6">
        <v>110</v>
      </c>
      <c r="C112" s="7" t="s">
        <v>114</v>
      </c>
      <c r="D112" s="8">
        <f>+'RVK ÍBUDARHUSNÆDI'!D135</f>
        <v>4</v>
      </c>
      <c r="E112" s="6" t="s">
        <v>84</v>
      </c>
      <c r="F112" s="6" t="s">
        <v>100</v>
      </c>
    </row>
    <row r="113" spans="1:6" s="7" customFormat="1" ht="21" customHeight="1" x14ac:dyDescent="0.25">
      <c r="A113"/>
      <c r="B113" s="6">
        <v>111</v>
      </c>
      <c r="C113" s="7" t="s">
        <v>115</v>
      </c>
      <c r="D113" s="8">
        <f>+'RVK ÍBUDARHUSNÆDI'!D136</f>
        <v>4</v>
      </c>
      <c r="E113" s="6" t="s">
        <v>116</v>
      </c>
      <c r="F113" s="6" t="s">
        <v>117</v>
      </c>
    </row>
    <row r="114" spans="1:6" s="7" customFormat="1" ht="21" customHeight="1" x14ac:dyDescent="0.25">
      <c r="A114"/>
      <c r="B114" s="6">
        <v>112</v>
      </c>
      <c r="C114" s="7" t="s">
        <v>118</v>
      </c>
      <c r="D114" s="8">
        <f>+'RVK ÍBUDARHUSNÆDI'!D137</f>
        <v>3</v>
      </c>
      <c r="E114" s="6" t="s">
        <v>116</v>
      </c>
      <c r="F114" s="6" t="s">
        <v>117</v>
      </c>
    </row>
    <row r="115" spans="1:6" s="9" customFormat="1" ht="21" customHeight="1" x14ac:dyDescent="0.25">
      <c r="A115"/>
      <c r="B115" s="6">
        <v>113</v>
      </c>
      <c r="C115" s="7" t="s">
        <v>119</v>
      </c>
      <c r="D115" s="8">
        <f>+'RVK ÍBUDARHUSNÆDI'!D138</f>
        <v>1</v>
      </c>
      <c r="E115" s="6" t="s">
        <v>116</v>
      </c>
      <c r="F115" s="6" t="s">
        <v>120</v>
      </c>
    </row>
    <row r="116" spans="1:6" s="9" customFormat="1" ht="21" customHeight="1" x14ac:dyDescent="0.25">
      <c r="A116"/>
      <c r="B116" s="6">
        <v>114</v>
      </c>
      <c r="C116" s="7" t="s">
        <v>121</v>
      </c>
      <c r="D116" s="8">
        <f>+'RVK ÍBUDARHUSNÆDI'!D139</f>
        <v>1</v>
      </c>
      <c r="E116" s="6" t="s">
        <v>116</v>
      </c>
      <c r="F116" s="6" t="s">
        <v>120</v>
      </c>
    </row>
    <row r="117" spans="1:6" s="7" customFormat="1" ht="21" customHeight="1" x14ac:dyDescent="0.25">
      <c r="A117"/>
      <c r="B117" s="6">
        <v>115</v>
      </c>
      <c r="C117" s="7" t="s">
        <v>122</v>
      </c>
      <c r="D117" s="8">
        <f>+'RVK ÍBUDARHUSNÆDI'!D140</f>
        <v>1</v>
      </c>
      <c r="E117" s="6" t="s">
        <v>116</v>
      </c>
      <c r="F117" s="6" t="s">
        <v>120</v>
      </c>
    </row>
    <row r="118" spans="1:6" s="7" customFormat="1" ht="21" customHeight="1" x14ac:dyDescent="0.25">
      <c r="A118" s="367"/>
      <c r="B118" s="6">
        <v>116</v>
      </c>
      <c r="C118" s="7" t="s">
        <v>517</v>
      </c>
      <c r="D118" s="8">
        <f>+'RVK ÍBUDARHUSNÆDI'!D141</f>
        <v>2</v>
      </c>
      <c r="E118" s="6" t="s">
        <v>116</v>
      </c>
      <c r="F118" s="6" t="s">
        <v>120</v>
      </c>
    </row>
    <row r="119" spans="1:6" s="7" customFormat="1" ht="21" customHeight="1" x14ac:dyDescent="0.25">
      <c r="A119"/>
      <c r="B119" s="6">
        <v>117</v>
      </c>
      <c r="C119" s="7" t="s">
        <v>518</v>
      </c>
      <c r="D119" s="8">
        <f>+'RVK ÍBUDARHUSNÆDI'!D142</f>
        <v>1</v>
      </c>
      <c r="E119" s="6" t="s">
        <v>116</v>
      </c>
      <c r="F119" s="6" t="s">
        <v>120</v>
      </c>
    </row>
    <row r="120" spans="1:6" s="7" customFormat="1" ht="21" customHeight="1" x14ac:dyDescent="0.25">
      <c r="A120"/>
      <c r="B120" s="6">
        <v>118</v>
      </c>
      <c r="C120" s="7" t="s">
        <v>124</v>
      </c>
      <c r="D120" s="8">
        <f>+'RVK ÍBUDARHUSNÆDI'!D143</f>
        <v>1</v>
      </c>
      <c r="E120" s="6" t="s">
        <v>116</v>
      </c>
      <c r="F120" s="6" t="s">
        <v>120</v>
      </c>
    </row>
    <row r="121" spans="1:6" s="9" customFormat="1" ht="21" customHeight="1" x14ac:dyDescent="0.25">
      <c r="A121"/>
      <c r="B121" s="6">
        <v>119</v>
      </c>
      <c r="C121" s="7" t="s">
        <v>125</v>
      </c>
      <c r="D121" s="8">
        <f>+'RVK ÍBUDARHUSNÆDI'!D144</f>
        <v>1</v>
      </c>
      <c r="E121" s="6" t="s">
        <v>116</v>
      </c>
      <c r="F121" s="6" t="s">
        <v>120</v>
      </c>
    </row>
    <row r="122" spans="1:6" s="9" customFormat="1" ht="21" customHeight="1" x14ac:dyDescent="0.25">
      <c r="A122"/>
      <c r="B122" s="6">
        <v>120</v>
      </c>
      <c r="C122" s="7" t="s">
        <v>126</v>
      </c>
      <c r="D122" s="8">
        <f>+'RVK ÍBUDARHUSNÆDI'!D145</f>
        <v>1</v>
      </c>
      <c r="E122" s="6" t="s">
        <v>116</v>
      </c>
      <c r="F122" s="6" t="s">
        <v>117</v>
      </c>
    </row>
    <row r="123" spans="1:6" s="7" customFormat="1" ht="21" customHeight="1" x14ac:dyDescent="0.25">
      <c r="A123"/>
      <c r="B123" s="6">
        <v>121</v>
      </c>
      <c r="C123" s="7" t="s">
        <v>127</v>
      </c>
      <c r="D123" s="8">
        <f>+'RVK ÍBUDARHUSNÆDI'!D146</f>
        <v>3</v>
      </c>
      <c r="E123" s="6" t="s">
        <v>116</v>
      </c>
      <c r="F123" s="6" t="s">
        <v>105</v>
      </c>
    </row>
    <row r="124" spans="1:6" s="7" customFormat="1" ht="21" customHeight="1" x14ac:dyDescent="0.25">
      <c r="A124"/>
      <c r="B124" s="6">
        <v>122</v>
      </c>
      <c r="C124" s="7" t="s">
        <v>128</v>
      </c>
      <c r="D124" s="8">
        <f>+'RVK ÍBUDARHUSNÆDI'!D147</f>
        <v>4</v>
      </c>
      <c r="E124" s="6" t="s">
        <v>116</v>
      </c>
      <c r="F124" s="6" t="s">
        <v>120</v>
      </c>
    </row>
    <row r="125" spans="1:6" s="7" customFormat="1" ht="21" customHeight="1" x14ac:dyDescent="0.25">
      <c r="A125"/>
      <c r="B125" s="6">
        <v>123</v>
      </c>
      <c r="C125" s="7" t="s">
        <v>129</v>
      </c>
      <c r="D125" s="8">
        <f>+'RVK ÍBUDARHUSNÆDI'!D148</f>
        <v>1</v>
      </c>
      <c r="E125" s="6" t="s">
        <v>116</v>
      </c>
      <c r="F125" s="6" t="s">
        <v>120</v>
      </c>
    </row>
    <row r="126" spans="1:6" s="7" customFormat="1" ht="21" customHeight="1" x14ac:dyDescent="0.25">
      <c r="A126"/>
      <c r="B126" s="6">
        <v>124</v>
      </c>
      <c r="C126" s="7" t="s">
        <v>130</v>
      </c>
      <c r="D126" s="8">
        <f>+'RVK ÍBUDARHUSNÆDI'!D149</f>
        <v>5</v>
      </c>
      <c r="E126" s="6" t="s">
        <v>116</v>
      </c>
      <c r="F126" s="6" t="s">
        <v>117</v>
      </c>
    </row>
    <row r="127" spans="1:6" s="7" customFormat="1" ht="21" customHeight="1" x14ac:dyDescent="0.25">
      <c r="A127"/>
      <c r="B127" s="6">
        <v>125</v>
      </c>
      <c r="C127" s="7" t="s">
        <v>131</v>
      </c>
      <c r="D127" s="8">
        <f>+'RVK ÍBUDARHUSNÆDI'!D150</f>
        <v>1</v>
      </c>
      <c r="E127" s="6" t="s">
        <v>116</v>
      </c>
      <c r="F127" s="6" t="s">
        <v>132</v>
      </c>
    </row>
    <row r="128" spans="1:6" s="7" customFormat="1" ht="21" customHeight="1" x14ac:dyDescent="0.25">
      <c r="A128"/>
      <c r="B128" s="6">
        <v>126</v>
      </c>
      <c r="C128" s="7" t="s">
        <v>133</v>
      </c>
      <c r="D128" s="8">
        <f>+'RVK ÍBUDARHUSNÆDI'!D151</f>
        <v>5</v>
      </c>
      <c r="E128" s="6" t="s">
        <v>116</v>
      </c>
      <c r="F128" s="6" t="s">
        <v>105</v>
      </c>
    </row>
    <row r="129" spans="1:6" s="7" customFormat="1" ht="21" customHeight="1" x14ac:dyDescent="0.25">
      <c r="A129"/>
      <c r="B129" s="6">
        <v>127</v>
      </c>
      <c r="C129" s="7" t="s">
        <v>134</v>
      </c>
      <c r="D129" s="8">
        <f>+'RVK ÍBUDARHUSNÆDI'!D152</f>
        <v>3</v>
      </c>
      <c r="E129" s="6" t="s">
        <v>116</v>
      </c>
      <c r="F129" s="6" t="s">
        <v>105</v>
      </c>
    </row>
    <row r="130" spans="1:6" s="7" customFormat="1" ht="21" customHeight="1" x14ac:dyDescent="0.25">
      <c r="A130"/>
      <c r="B130" s="6">
        <v>128</v>
      </c>
      <c r="C130" s="7" t="s">
        <v>135</v>
      </c>
      <c r="D130" s="8">
        <f>+'RVK ÍBUDARHUSNÆDI'!D153</f>
        <v>4</v>
      </c>
      <c r="E130" s="6" t="s">
        <v>116</v>
      </c>
      <c r="F130" s="6" t="s">
        <v>105</v>
      </c>
    </row>
    <row r="131" spans="1:6" s="7" customFormat="1" ht="21" customHeight="1" x14ac:dyDescent="0.25">
      <c r="A131"/>
      <c r="B131" s="6">
        <v>129</v>
      </c>
      <c r="C131" s="7" t="s">
        <v>136</v>
      </c>
      <c r="D131" s="8">
        <f>+'RVK ÍBUDARHUSNÆDI'!D154</f>
        <v>4</v>
      </c>
      <c r="E131" s="6" t="s">
        <v>116</v>
      </c>
      <c r="F131" s="6" t="s">
        <v>105</v>
      </c>
    </row>
    <row r="132" spans="1:6" s="7" customFormat="1" ht="21" customHeight="1" x14ac:dyDescent="0.25">
      <c r="A132"/>
      <c r="B132" s="6">
        <v>130</v>
      </c>
      <c r="C132" s="7" t="s">
        <v>137</v>
      </c>
      <c r="D132" s="8">
        <f>+'RVK ÍBUDARHUSNÆDI'!D155</f>
        <v>2</v>
      </c>
      <c r="E132" s="6" t="s">
        <v>116</v>
      </c>
      <c r="F132" s="6" t="s">
        <v>105</v>
      </c>
    </row>
    <row r="133" spans="1:6" s="7" customFormat="1" ht="21" customHeight="1" x14ac:dyDescent="0.25">
      <c r="A133"/>
      <c r="B133" s="6">
        <v>131</v>
      </c>
      <c r="C133" s="7" t="s">
        <v>138</v>
      </c>
      <c r="D133" s="8">
        <f>+'RVK ÍBUDARHUSNÆDI'!D156</f>
        <v>5</v>
      </c>
      <c r="E133" s="6" t="s">
        <v>116</v>
      </c>
      <c r="F133" s="6" t="s">
        <v>105</v>
      </c>
    </row>
    <row r="134" spans="1:6" s="7" customFormat="1" ht="21" customHeight="1" x14ac:dyDescent="0.25">
      <c r="A134"/>
      <c r="B134" s="6">
        <v>132</v>
      </c>
      <c r="C134" s="7" t="s">
        <v>139</v>
      </c>
      <c r="D134" s="8">
        <f>+'RVK ÍBUDARHUSNÆDI'!D157</f>
        <v>1</v>
      </c>
      <c r="E134" s="6" t="s">
        <v>116</v>
      </c>
      <c r="F134" s="6" t="s">
        <v>105</v>
      </c>
    </row>
    <row r="135" spans="1:6" s="10" customFormat="1" ht="21" customHeight="1" x14ac:dyDescent="0.25">
      <c r="A135"/>
      <c r="B135" s="6">
        <v>133</v>
      </c>
      <c r="C135" s="7" t="s">
        <v>140</v>
      </c>
      <c r="D135" s="8">
        <f>+'RVK ÍBUDARHUSNÆDI'!D158</f>
        <v>2</v>
      </c>
      <c r="E135" s="6" t="s">
        <v>116</v>
      </c>
      <c r="F135" s="6" t="s">
        <v>105</v>
      </c>
    </row>
    <row r="136" spans="1:6" s="7" customFormat="1" ht="21" customHeight="1" x14ac:dyDescent="0.25">
      <c r="A136"/>
      <c r="B136" s="6">
        <v>134</v>
      </c>
      <c r="C136" s="7" t="s">
        <v>141</v>
      </c>
      <c r="D136" s="8">
        <f>+'RVK ÍBUDARHUSNÆDI'!D159</f>
        <v>2</v>
      </c>
      <c r="E136" s="6" t="s">
        <v>142</v>
      </c>
      <c r="F136" s="6" t="s">
        <v>142</v>
      </c>
    </row>
    <row r="137" spans="1:6" s="7" customFormat="1" ht="21" customHeight="1" x14ac:dyDescent="0.25">
      <c r="A137"/>
      <c r="B137" s="6">
        <v>135</v>
      </c>
      <c r="C137" s="7" t="s">
        <v>143</v>
      </c>
      <c r="D137" s="8">
        <f>+'RVK ÍBUDARHUSNÆDI'!D160</f>
        <v>2</v>
      </c>
      <c r="E137" s="6" t="s">
        <v>142</v>
      </c>
      <c r="F137" s="6" t="s">
        <v>142</v>
      </c>
    </row>
    <row r="138" spans="1:6" s="7" customFormat="1" ht="21" customHeight="1" x14ac:dyDescent="0.25">
      <c r="A138"/>
      <c r="B138" s="6">
        <v>136</v>
      </c>
      <c r="C138" s="7" t="s">
        <v>144</v>
      </c>
      <c r="D138" s="8">
        <f>+'RVK ÍBUDARHUSNÆDI'!D161</f>
        <v>4</v>
      </c>
      <c r="E138" s="6" t="s">
        <v>142</v>
      </c>
      <c r="F138" s="6" t="s">
        <v>142</v>
      </c>
    </row>
    <row r="139" spans="1:6" s="7" customFormat="1" ht="21" customHeight="1" x14ac:dyDescent="0.25">
      <c r="A139"/>
      <c r="B139" s="6">
        <v>137</v>
      </c>
      <c r="C139" s="7" t="s">
        <v>145</v>
      </c>
      <c r="D139" s="8">
        <f>+'RVK ÍBUDARHUSNÆDI'!D162</f>
        <v>1</v>
      </c>
      <c r="E139" s="6" t="s">
        <v>142</v>
      </c>
      <c r="F139" s="6" t="s">
        <v>142</v>
      </c>
    </row>
    <row r="140" spans="1:6" s="7" customFormat="1" ht="21" customHeight="1" x14ac:dyDescent="0.25">
      <c r="A140"/>
      <c r="B140" s="6">
        <v>138</v>
      </c>
      <c r="C140" s="7" t="s">
        <v>146</v>
      </c>
      <c r="D140" s="8">
        <f>+'RVK ÍBUDARHUSNÆDI'!D163</f>
        <v>3</v>
      </c>
      <c r="E140" s="6" t="s">
        <v>142</v>
      </c>
      <c r="F140" s="6" t="s">
        <v>142</v>
      </c>
    </row>
    <row r="141" spans="1:6" s="7" customFormat="1" ht="21" customHeight="1" x14ac:dyDescent="0.25">
      <c r="A141"/>
      <c r="B141" s="6">
        <v>139</v>
      </c>
      <c r="C141" s="7" t="s">
        <v>147</v>
      </c>
      <c r="D141" s="8">
        <f>+'RVK ÍBUDARHUSNÆDI'!D164</f>
        <v>5</v>
      </c>
      <c r="E141" s="6" t="s">
        <v>142</v>
      </c>
      <c r="F141" s="6" t="s">
        <v>142</v>
      </c>
    </row>
    <row r="142" spans="1:6" s="10" customFormat="1" ht="21" customHeight="1" x14ac:dyDescent="0.25">
      <c r="A142"/>
      <c r="B142" s="6">
        <v>140</v>
      </c>
      <c r="C142" s="7" t="s">
        <v>148</v>
      </c>
      <c r="D142" s="8">
        <f>+'RVK ÍBUDARHUSNÆDI'!D165</f>
        <v>2</v>
      </c>
      <c r="E142" s="6" t="s">
        <v>142</v>
      </c>
      <c r="F142" s="6" t="s">
        <v>142</v>
      </c>
    </row>
    <row r="143" spans="1:6" s="10" customFormat="1" ht="21" customHeight="1" x14ac:dyDescent="0.25">
      <c r="A143"/>
      <c r="B143" s="6">
        <v>141</v>
      </c>
      <c r="C143" s="7" t="s">
        <v>149</v>
      </c>
      <c r="D143" s="8">
        <f>+'RVK ÍBUDARHUSNÆDI'!D166</f>
        <v>2</v>
      </c>
      <c r="E143" s="6" t="s">
        <v>142</v>
      </c>
      <c r="F143" s="6" t="s">
        <v>142</v>
      </c>
    </row>
    <row r="144" spans="1:6" s="10" customFormat="1" ht="21" customHeight="1" x14ac:dyDescent="0.25">
      <c r="A144"/>
      <c r="B144" s="6">
        <v>142</v>
      </c>
      <c r="C144" s="7" t="s">
        <v>150</v>
      </c>
      <c r="D144" s="8">
        <f>+'RVK ÍBUDARHUSNÆDI'!D167</f>
        <v>5</v>
      </c>
      <c r="E144" s="6" t="s">
        <v>142</v>
      </c>
      <c r="F144" s="6" t="s">
        <v>142</v>
      </c>
    </row>
    <row r="145" spans="1:6" s="7" customFormat="1" ht="21" customHeight="1" x14ac:dyDescent="0.25">
      <c r="A145"/>
      <c r="B145" s="6">
        <v>143</v>
      </c>
      <c r="C145" s="7" t="s">
        <v>151</v>
      </c>
      <c r="D145" s="8">
        <f>+'RVK ÍBUDARHUSNÆDI'!D168</f>
        <v>4</v>
      </c>
      <c r="E145" s="6" t="s">
        <v>152</v>
      </c>
      <c r="F145" s="6" t="s">
        <v>153</v>
      </c>
    </row>
    <row r="146" spans="1:6" s="7" customFormat="1" ht="21" customHeight="1" x14ac:dyDescent="0.25">
      <c r="A146"/>
      <c r="B146" s="6">
        <v>144</v>
      </c>
      <c r="C146" s="7" t="s">
        <v>154</v>
      </c>
      <c r="D146" s="8">
        <f>+'RVK ÍBUDARHUSNÆDI'!D169</f>
        <v>5</v>
      </c>
      <c r="E146" s="6" t="s">
        <v>152</v>
      </c>
      <c r="F146" s="6" t="s">
        <v>153</v>
      </c>
    </row>
    <row r="147" spans="1:6" s="7" customFormat="1" ht="21" customHeight="1" x14ac:dyDescent="0.25">
      <c r="A147"/>
      <c r="B147" s="6">
        <v>145</v>
      </c>
      <c r="C147" s="7" t="s">
        <v>155</v>
      </c>
      <c r="D147" s="8">
        <f>+'RVK ÍBUDARHUSNÆDI'!D170</f>
        <v>5</v>
      </c>
      <c r="E147" s="6" t="s">
        <v>152</v>
      </c>
      <c r="F147" s="6" t="s">
        <v>153</v>
      </c>
    </row>
    <row r="148" spans="1:6" s="7" customFormat="1" ht="21" customHeight="1" x14ac:dyDescent="0.25">
      <c r="A148"/>
      <c r="B148" s="6">
        <v>146</v>
      </c>
      <c r="C148" s="7" t="s">
        <v>156</v>
      </c>
      <c r="D148" s="8">
        <f>+'RVK ÍBUDARHUSNÆDI'!D171</f>
        <v>4</v>
      </c>
      <c r="E148" s="6" t="s">
        <v>152</v>
      </c>
      <c r="F148" s="6" t="s">
        <v>157</v>
      </c>
    </row>
    <row r="149" spans="1:6" s="7" customFormat="1" ht="21" customHeight="1" x14ac:dyDescent="0.25">
      <c r="A149" s="367"/>
      <c r="B149" s="6">
        <v>147</v>
      </c>
      <c r="C149" s="7" t="s">
        <v>506</v>
      </c>
      <c r="D149" s="8">
        <f>+'RVK ÍBUDARHUSNÆDI'!D172</f>
        <v>1</v>
      </c>
      <c r="E149" s="6" t="s">
        <v>152</v>
      </c>
      <c r="F149" s="6" t="s">
        <v>157</v>
      </c>
    </row>
    <row r="150" spans="1:6" s="7" customFormat="1" ht="21" customHeight="1" x14ac:dyDescent="0.25">
      <c r="A150"/>
      <c r="B150" s="6">
        <v>148</v>
      </c>
      <c r="C150" s="7" t="s">
        <v>158</v>
      </c>
      <c r="D150" s="8">
        <f>+'RVK ÍBUDARHUSNÆDI'!D173</f>
        <v>1</v>
      </c>
      <c r="E150" s="6" t="s">
        <v>152</v>
      </c>
      <c r="F150" s="6" t="s">
        <v>157</v>
      </c>
    </row>
    <row r="151" spans="1:6" s="7" customFormat="1" ht="21" customHeight="1" x14ac:dyDescent="0.25">
      <c r="A151"/>
      <c r="B151" s="6">
        <v>149</v>
      </c>
      <c r="C151" s="7" t="s">
        <v>159</v>
      </c>
      <c r="D151" s="8">
        <f>+'RVK ÍBUDARHUSNÆDI'!D174</f>
        <v>1</v>
      </c>
      <c r="E151" s="6" t="s">
        <v>152</v>
      </c>
      <c r="F151" s="6" t="s">
        <v>157</v>
      </c>
    </row>
    <row r="152" spans="1:6" s="7" customFormat="1" ht="21" customHeight="1" x14ac:dyDescent="0.25">
      <c r="A152"/>
      <c r="B152" s="6">
        <v>150</v>
      </c>
      <c r="C152" s="7" t="s">
        <v>160</v>
      </c>
      <c r="D152" s="8">
        <f>+'RVK ÍBUDARHUSNÆDI'!D175</f>
        <v>1</v>
      </c>
      <c r="E152" s="6" t="s">
        <v>152</v>
      </c>
      <c r="F152" s="6" t="s">
        <v>157</v>
      </c>
    </row>
    <row r="153" spans="1:6" s="7" customFormat="1" ht="21" customHeight="1" x14ac:dyDescent="0.25">
      <c r="A153"/>
      <c r="B153" s="6">
        <v>151</v>
      </c>
      <c r="C153" s="7" t="s">
        <v>161</v>
      </c>
      <c r="D153" s="8">
        <f>+'RVK ÍBUDARHUSNÆDI'!D176</f>
        <v>2</v>
      </c>
      <c r="E153" s="6" t="s">
        <v>152</v>
      </c>
      <c r="F153" s="6" t="s">
        <v>162</v>
      </c>
    </row>
    <row r="154" spans="1:6" s="7" customFormat="1" ht="21" customHeight="1" x14ac:dyDescent="0.25">
      <c r="A154"/>
      <c r="B154" s="6">
        <v>152</v>
      </c>
      <c r="C154" s="7" t="s">
        <v>163</v>
      </c>
      <c r="D154" s="8">
        <f>+'RVK ÍBUDARHUSNÆDI'!D177</f>
        <v>1</v>
      </c>
      <c r="E154" s="6" t="s">
        <v>152</v>
      </c>
      <c r="F154" s="6" t="s">
        <v>164</v>
      </c>
    </row>
    <row r="155" spans="1:6" s="7" customFormat="1" ht="21" customHeight="1" x14ac:dyDescent="0.25">
      <c r="A155"/>
      <c r="B155" s="6">
        <v>153</v>
      </c>
      <c r="C155" s="7" t="s">
        <v>165</v>
      </c>
      <c r="D155" s="8">
        <f>+'RVK ÍBUDARHUSNÆDI'!D178</f>
        <v>5</v>
      </c>
      <c r="E155" s="6" t="s">
        <v>152</v>
      </c>
      <c r="F155" s="6" t="s">
        <v>157</v>
      </c>
    </row>
    <row r="156" spans="1:6" s="10" customFormat="1" ht="21" customHeight="1" x14ac:dyDescent="0.25">
      <c r="A156"/>
      <c r="B156" s="6">
        <v>154</v>
      </c>
      <c r="C156" s="7" t="s">
        <v>166</v>
      </c>
      <c r="D156" s="8">
        <f>+'RVK ÍBUDARHUSNÆDI'!D179</f>
        <v>2</v>
      </c>
      <c r="E156" s="6" t="s">
        <v>152</v>
      </c>
      <c r="F156" s="6" t="s">
        <v>157</v>
      </c>
    </row>
    <row r="157" spans="1:6" s="10" customFormat="1" ht="21" customHeight="1" x14ac:dyDescent="0.25">
      <c r="A157"/>
      <c r="B157" s="6">
        <v>155</v>
      </c>
      <c r="C157" s="7" t="s">
        <v>167</v>
      </c>
      <c r="D157" s="8">
        <f>+'RVK ÍBUDARHUSNÆDI'!D180</f>
        <v>2</v>
      </c>
      <c r="E157" s="6" t="s">
        <v>152</v>
      </c>
      <c r="F157" s="6" t="s">
        <v>157</v>
      </c>
    </row>
    <row r="158" spans="1:6" s="10" customFormat="1" ht="21" customHeight="1" x14ac:dyDescent="0.25">
      <c r="A158"/>
      <c r="B158" s="6">
        <v>156</v>
      </c>
      <c r="C158" s="7" t="s">
        <v>168</v>
      </c>
      <c r="D158" s="8">
        <f>+'RVK ÍBUDARHUSNÆDI'!D181</f>
        <v>3</v>
      </c>
      <c r="E158" s="6" t="s">
        <v>152</v>
      </c>
      <c r="F158" s="6" t="s">
        <v>157</v>
      </c>
    </row>
    <row r="159" spans="1:6" s="10" customFormat="1" ht="21" customHeight="1" x14ac:dyDescent="0.25">
      <c r="A159"/>
      <c r="B159" s="6">
        <v>157</v>
      </c>
      <c r="C159" s="7" t="s">
        <v>169</v>
      </c>
      <c r="D159" s="8">
        <f>+'RVK ÍBUDARHUSNÆDI'!D182</f>
        <v>2</v>
      </c>
      <c r="E159" s="6" t="s">
        <v>152</v>
      </c>
      <c r="F159" s="6" t="s">
        <v>157</v>
      </c>
    </row>
    <row r="160" spans="1:6" s="10" customFormat="1" ht="21" customHeight="1" x14ac:dyDescent="0.25">
      <c r="A160"/>
      <c r="B160" s="6">
        <v>158</v>
      </c>
      <c r="C160" s="7" t="s">
        <v>170</v>
      </c>
      <c r="D160" s="8">
        <f>+'RVK ÍBUDARHUSNÆDI'!D183</f>
        <v>3</v>
      </c>
      <c r="E160" s="6" t="s">
        <v>152</v>
      </c>
      <c r="F160" s="6" t="s">
        <v>157</v>
      </c>
    </row>
    <row r="161" spans="1:6" s="7" customFormat="1" ht="21" customHeight="1" x14ac:dyDescent="0.25">
      <c r="A161"/>
      <c r="B161" s="6">
        <v>159</v>
      </c>
      <c r="C161" s="7" t="s">
        <v>171</v>
      </c>
      <c r="D161" s="8">
        <f>+'RVK ÍBUDARHUSNÆDI'!D184</f>
        <v>3</v>
      </c>
      <c r="E161" s="6" t="s">
        <v>172</v>
      </c>
      <c r="F161" s="6" t="s">
        <v>173</v>
      </c>
    </row>
    <row r="162" spans="1:6" s="7" customFormat="1" ht="21" customHeight="1" x14ac:dyDescent="0.25">
      <c r="A162"/>
      <c r="B162" s="6">
        <v>160</v>
      </c>
      <c r="C162" s="7" t="s">
        <v>174</v>
      </c>
      <c r="D162" s="8">
        <f>+'RVK ÍBUDARHUSNÆDI'!D185</f>
        <v>4</v>
      </c>
      <c r="E162" s="6" t="s">
        <v>172</v>
      </c>
      <c r="F162" s="6" t="s">
        <v>175</v>
      </c>
    </row>
    <row r="163" spans="1:6" s="7" customFormat="1" ht="21" customHeight="1" x14ac:dyDescent="0.25">
      <c r="A163"/>
      <c r="B163" s="6">
        <v>161</v>
      </c>
      <c r="C163" s="7" t="s">
        <v>176</v>
      </c>
      <c r="D163" s="8">
        <f>+'RVK ÍBUDARHUSNÆDI'!D186</f>
        <v>1</v>
      </c>
      <c r="E163" s="6" t="s">
        <v>172</v>
      </c>
      <c r="F163" s="6" t="s">
        <v>175</v>
      </c>
    </row>
    <row r="164" spans="1:6" s="7" customFormat="1" ht="21" customHeight="1" x14ac:dyDescent="0.25">
      <c r="A164"/>
      <c r="B164" s="6">
        <v>162</v>
      </c>
      <c r="C164" s="7" t="s">
        <v>177</v>
      </c>
      <c r="D164" s="8">
        <f>+'RVK ÍBUDARHUSNÆDI'!D187</f>
        <v>2</v>
      </c>
      <c r="E164" s="6" t="s">
        <v>172</v>
      </c>
      <c r="F164" s="6" t="s">
        <v>173</v>
      </c>
    </row>
    <row r="165" spans="1:6" s="7" customFormat="1" ht="21" customHeight="1" x14ac:dyDescent="0.25">
      <c r="A165"/>
      <c r="B165" s="6">
        <v>163</v>
      </c>
      <c r="C165" s="7" t="s">
        <v>178</v>
      </c>
      <c r="D165" s="8">
        <f>+'RVK ÍBUDARHUSNÆDI'!D188</f>
        <v>2</v>
      </c>
      <c r="E165" s="6" t="s">
        <v>172</v>
      </c>
      <c r="F165" s="6" t="s">
        <v>179</v>
      </c>
    </row>
    <row r="166" spans="1:6" s="7" customFormat="1" ht="21" customHeight="1" x14ac:dyDescent="0.25">
      <c r="A166" s="367"/>
      <c r="B166" s="6">
        <v>164</v>
      </c>
      <c r="C166" s="7" t="s">
        <v>511</v>
      </c>
      <c r="D166" s="8">
        <v>3</v>
      </c>
      <c r="E166" s="6" t="s">
        <v>172</v>
      </c>
      <c r="F166" s="6" t="s">
        <v>179</v>
      </c>
    </row>
    <row r="167" spans="1:6" s="7" customFormat="1" ht="21" customHeight="1" x14ac:dyDescent="0.25">
      <c r="A167"/>
      <c r="B167" s="6">
        <v>165</v>
      </c>
      <c r="C167" s="7" t="s">
        <v>180</v>
      </c>
      <c r="D167" s="8">
        <f>+'RVK ÍBUDARHUSNÆDI'!D190</f>
        <v>5</v>
      </c>
      <c r="E167" s="6" t="s">
        <v>172</v>
      </c>
      <c r="F167" s="6" t="s">
        <v>181</v>
      </c>
    </row>
    <row r="168" spans="1:6" s="7" customFormat="1" ht="21" customHeight="1" x14ac:dyDescent="0.25">
      <c r="A168"/>
      <c r="B168" s="6">
        <v>166</v>
      </c>
      <c r="C168" s="7" t="s">
        <v>182</v>
      </c>
      <c r="D168" s="8">
        <f>+'RVK ÍBUDARHUSNÆDI'!D191</f>
        <v>2</v>
      </c>
      <c r="E168" s="6" t="s">
        <v>172</v>
      </c>
      <c r="F168" s="6" t="s">
        <v>181</v>
      </c>
    </row>
    <row r="169" spans="1:6" s="7" customFormat="1" ht="21" customHeight="1" x14ac:dyDescent="0.25">
      <c r="A169"/>
      <c r="B169" s="6">
        <v>167</v>
      </c>
      <c r="C169" s="7" t="s">
        <v>183</v>
      </c>
      <c r="D169" s="8">
        <f>+'RVK ÍBUDARHUSNÆDI'!D192</f>
        <v>5</v>
      </c>
      <c r="E169" s="6" t="s">
        <v>172</v>
      </c>
      <c r="F169" s="6" t="s">
        <v>184</v>
      </c>
    </row>
    <row r="170" spans="1:6" s="7" customFormat="1" ht="21" customHeight="1" x14ac:dyDescent="0.25">
      <c r="A170"/>
      <c r="B170" s="6">
        <v>168</v>
      </c>
      <c r="C170" s="7" t="s">
        <v>502</v>
      </c>
      <c r="D170" s="8">
        <f>+'RVK ÍBUDARHUSNÆDI'!D193</f>
        <v>5</v>
      </c>
      <c r="E170" s="6" t="s">
        <v>172</v>
      </c>
      <c r="F170" s="6" t="s">
        <v>179</v>
      </c>
    </row>
    <row r="171" spans="1:6" s="10" customFormat="1" ht="21" customHeight="1" x14ac:dyDescent="0.25">
      <c r="A171"/>
      <c r="B171" s="6">
        <v>169</v>
      </c>
      <c r="C171" s="7" t="s">
        <v>185</v>
      </c>
      <c r="D171" s="8">
        <f>+'RVK ÍBUDARHUSNÆDI'!D194</f>
        <v>2</v>
      </c>
      <c r="E171" s="6" t="s">
        <v>172</v>
      </c>
      <c r="F171" s="6" t="s">
        <v>179</v>
      </c>
    </row>
    <row r="172" spans="1:6" s="7" customFormat="1" ht="21" customHeight="1" x14ac:dyDescent="0.25">
      <c r="A172"/>
      <c r="B172" s="6">
        <v>170</v>
      </c>
      <c r="C172" s="7" t="s">
        <v>186</v>
      </c>
      <c r="D172" s="8">
        <f>+'RVK ÍBUDARHUSNÆDI'!D195</f>
        <v>1</v>
      </c>
      <c r="E172" s="6" t="s">
        <v>187</v>
      </c>
      <c r="F172" s="6" t="s">
        <v>188</v>
      </c>
    </row>
    <row r="173" spans="1:6" s="7" customFormat="1" ht="21" customHeight="1" x14ac:dyDescent="0.25">
      <c r="A173" s="367"/>
      <c r="B173" s="6">
        <v>171</v>
      </c>
      <c r="C173" s="7" t="s">
        <v>510</v>
      </c>
      <c r="D173" s="8">
        <f>+'RVK ÍBUDARHUSNÆDI'!D196</f>
        <v>3</v>
      </c>
      <c r="E173" s="6" t="s">
        <v>187</v>
      </c>
      <c r="F173" s="6" t="s">
        <v>188</v>
      </c>
    </row>
    <row r="174" spans="1:6" s="7" customFormat="1" ht="21" customHeight="1" x14ac:dyDescent="0.25">
      <c r="A174"/>
      <c r="B174" s="6">
        <v>172</v>
      </c>
      <c r="C174" s="7" t="s">
        <v>189</v>
      </c>
      <c r="D174" s="8">
        <f>+'RVK ÍBUDARHUSNÆDI'!D197</f>
        <v>3</v>
      </c>
      <c r="E174" s="6" t="s">
        <v>187</v>
      </c>
      <c r="F174" s="6" t="s">
        <v>188</v>
      </c>
    </row>
    <row r="175" spans="1:6" s="7" customFormat="1" ht="21" customHeight="1" x14ac:dyDescent="0.25">
      <c r="A175"/>
      <c r="B175" s="6">
        <v>173</v>
      </c>
      <c r="C175" s="7" t="s">
        <v>190</v>
      </c>
      <c r="D175" s="8">
        <f>+'RVK ÍBUDARHUSNÆDI'!D198</f>
        <v>5</v>
      </c>
      <c r="E175" s="6" t="s">
        <v>187</v>
      </c>
      <c r="F175" s="6" t="s">
        <v>191</v>
      </c>
    </row>
    <row r="176" spans="1:6" s="7" customFormat="1" ht="21" customHeight="1" x14ac:dyDescent="0.25">
      <c r="A176"/>
      <c r="B176" s="6">
        <v>174</v>
      </c>
      <c r="C176" s="7" t="s">
        <v>192</v>
      </c>
      <c r="D176" s="8">
        <f>+'RVK ÍBUDARHUSNÆDI'!D199</f>
        <v>4</v>
      </c>
      <c r="E176" s="6" t="s">
        <v>187</v>
      </c>
      <c r="F176" s="6" t="s">
        <v>193</v>
      </c>
    </row>
    <row r="177" spans="1:6" s="7" customFormat="1" ht="21" customHeight="1" x14ac:dyDescent="0.25">
      <c r="A177"/>
      <c r="B177" s="6">
        <v>175</v>
      </c>
      <c r="C177" s="7" t="s">
        <v>194</v>
      </c>
      <c r="D177" s="8">
        <f>+'RVK ÍBUDARHUSNÆDI'!D200</f>
        <v>5</v>
      </c>
      <c r="E177" s="6" t="s">
        <v>187</v>
      </c>
      <c r="F177" s="6" t="s">
        <v>195</v>
      </c>
    </row>
    <row r="178" spans="1:6" s="9" customFormat="1" ht="21" customHeight="1" x14ac:dyDescent="0.25">
      <c r="A178"/>
      <c r="B178" s="6">
        <v>176</v>
      </c>
      <c r="C178" s="7" t="s">
        <v>196</v>
      </c>
      <c r="D178" s="8">
        <f>+'RVK ÍBUDARHUSNÆDI'!D201</f>
        <v>1</v>
      </c>
      <c r="E178" s="6" t="s">
        <v>187</v>
      </c>
      <c r="F178" s="6" t="s">
        <v>188</v>
      </c>
    </row>
    <row r="179" spans="1:6" s="7" customFormat="1" ht="21" customHeight="1" x14ac:dyDescent="0.25">
      <c r="A179"/>
      <c r="B179" s="6">
        <v>177</v>
      </c>
      <c r="C179" s="7" t="s">
        <v>197</v>
      </c>
      <c r="D179" s="8">
        <f>+'RVK ÍBUDARHUSNÆDI'!D202</f>
        <v>4</v>
      </c>
      <c r="E179" s="6" t="s">
        <v>187</v>
      </c>
      <c r="F179" s="6" t="s">
        <v>198</v>
      </c>
    </row>
    <row r="180" spans="1:6" s="7" customFormat="1" ht="21" customHeight="1" x14ac:dyDescent="0.25">
      <c r="A180"/>
      <c r="B180" s="6">
        <v>178</v>
      </c>
      <c r="C180" s="7" t="s">
        <v>199</v>
      </c>
      <c r="D180" s="8">
        <f>+'RVK ÍBUDARHUSNÆDI'!D203</f>
        <v>5</v>
      </c>
      <c r="E180" s="6" t="s">
        <v>187</v>
      </c>
      <c r="F180" s="6" t="s">
        <v>193</v>
      </c>
    </row>
    <row r="181" spans="1:6" s="7" customFormat="1" ht="21" customHeight="1" x14ac:dyDescent="0.25">
      <c r="A181"/>
      <c r="B181" s="6">
        <v>179</v>
      </c>
      <c r="C181" s="7" t="s">
        <v>200</v>
      </c>
      <c r="D181" s="8">
        <f>+'RVK ÍBUDARHUSNÆDI'!D204</f>
        <v>5</v>
      </c>
      <c r="E181" s="6" t="s">
        <v>187</v>
      </c>
      <c r="F181" s="6" t="s">
        <v>201</v>
      </c>
    </row>
    <row r="182" spans="1:6" s="7" customFormat="1" ht="21" customHeight="1" x14ac:dyDescent="0.25">
      <c r="A182"/>
      <c r="B182" s="6">
        <v>180</v>
      </c>
      <c r="C182" s="7" t="s">
        <v>202</v>
      </c>
      <c r="D182" s="8">
        <f>+'RVK ÍBUDARHUSNÆDI'!D205</f>
        <v>5</v>
      </c>
      <c r="E182" s="6" t="s">
        <v>187</v>
      </c>
      <c r="F182" s="6" t="s">
        <v>201</v>
      </c>
    </row>
    <row r="183" spans="1:6" s="7" customFormat="1" ht="21" customHeight="1" x14ac:dyDescent="0.25">
      <c r="A183"/>
      <c r="B183" s="6">
        <v>181</v>
      </c>
      <c r="C183" s="7" t="s">
        <v>203</v>
      </c>
      <c r="D183" s="8">
        <f>+'RVK ÍBUDARHUSNÆDI'!D206</f>
        <v>4</v>
      </c>
      <c r="E183" s="6" t="s">
        <v>187</v>
      </c>
      <c r="F183" s="6" t="s">
        <v>201</v>
      </c>
    </row>
    <row r="184" spans="1:6" s="10" customFormat="1" ht="21" customHeight="1" x14ac:dyDescent="0.25">
      <c r="A184"/>
      <c r="B184" s="6">
        <v>182</v>
      </c>
      <c r="C184" s="7" t="s">
        <v>204</v>
      </c>
      <c r="D184" s="8">
        <f>+'RVK ÍBUDARHUSNÆDI'!D207</f>
        <v>2</v>
      </c>
      <c r="E184" s="6" t="s">
        <v>187</v>
      </c>
      <c r="F184" s="6"/>
    </row>
    <row r="185" spans="1:6" s="10" customFormat="1" ht="21" customHeight="1" x14ac:dyDescent="0.25">
      <c r="A185"/>
      <c r="B185" s="6">
        <v>183</v>
      </c>
      <c r="C185" s="7" t="s">
        <v>205</v>
      </c>
      <c r="D185" s="8">
        <f>+'RVK ÍBUDARHUSNÆDI'!D208</f>
        <v>2</v>
      </c>
      <c r="E185" s="6" t="s">
        <v>187</v>
      </c>
      <c r="F185" s="6"/>
    </row>
    <row r="186" spans="1:6" s="10" customFormat="1" ht="21" customHeight="1" x14ac:dyDescent="0.25">
      <c r="A186"/>
      <c r="B186" s="6">
        <v>184</v>
      </c>
      <c r="C186" s="7" t="s">
        <v>206</v>
      </c>
      <c r="D186" s="8">
        <f>+'RVK ÍBUDARHUSNÆDI'!D209</f>
        <v>1</v>
      </c>
      <c r="E186" s="6" t="s">
        <v>187</v>
      </c>
      <c r="F186" s="6"/>
    </row>
    <row r="187" spans="1:6" s="10" customFormat="1" ht="21" customHeight="1" x14ac:dyDescent="0.25">
      <c r="A187"/>
      <c r="B187" s="6">
        <v>185</v>
      </c>
      <c r="C187" s="7" t="s">
        <v>207</v>
      </c>
      <c r="D187" s="8">
        <f>+'RVK ÍBUDARHUSNÆDI'!D210</f>
        <v>4</v>
      </c>
      <c r="E187" s="6" t="s">
        <v>187</v>
      </c>
      <c r="F187" s="6"/>
    </row>
    <row r="188" spans="1:6" s="10" customFormat="1" ht="21" customHeight="1" x14ac:dyDescent="0.25">
      <c r="A188"/>
      <c r="B188" s="6">
        <v>186</v>
      </c>
      <c r="C188" s="7" t="s">
        <v>208</v>
      </c>
      <c r="D188" s="8">
        <f>+'RVK ÍBUDARHUSNÆDI'!D211</f>
        <v>4</v>
      </c>
      <c r="E188" s="6" t="s">
        <v>187</v>
      </c>
      <c r="F188" s="6"/>
    </row>
    <row r="189" spans="1:6" s="7" customFormat="1" ht="21" customHeight="1" x14ac:dyDescent="0.25">
      <c r="A189"/>
      <c r="B189" s="6">
        <v>187</v>
      </c>
      <c r="C189" s="7" t="s">
        <v>209</v>
      </c>
      <c r="D189" s="8">
        <f>+'RVK ÍBUDARHUSNÆDI'!D212</f>
        <v>1</v>
      </c>
      <c r="E189" s="6" t="s">
        <v>210</v>
      </c>
      <c r="F189" s="6" t="s">
        <v>211</v>
      </c>
    </row>
    <row r="190" spans="1:6" s="7" customFormat="1" ht="21" customHeight="1" x14ac:dyDescent="0.25">
      <c r="A190"/>
      <c r="B190" s="6">
        <v>188</v>
      </c>
      <c r="C190" s="7" t="s">
        <v>212</v>
      </c>
      <c r="D190" s="8">
        <f>+'RVK ÍBUDARHUSNÆDI'!D213</f>
        <v>4</v>
      </c>
      <c r="E190" s="6" t="s">
        <v>210</v>
      </c>
      <c r="F190" s="6" t="s">
        <v>213</v>
      </c>
    </row>
    <row r="191" spans="1:6" s="7" customFormat="1" ht="21" customHeight="1" x14ac:dyDescent="0.25">
      <c r="A191"/>
      <c r="B191" s="6">
        <v>189</v>
      </c>
      <c r="C191" s="7" t="s">
        <v>214</v>
      </c>
      <c r="D191" s="8">
        <f>+'RVK ÍBUDARHUSNÆDI'!D214</f>
        <v>1</v>
      </c>
      <c r="E191" s="6" t="s">
        <v>210</v>
      </c>
      <c r="F191" s="6" t="s">
        <v>211</v>
      </c>
    </row>
    <row r="192" spans="1:6" s="7" customFormat="1" ht="21" customHeight="1" x14ac:dyDescent="0.25">
      <c r="A192"/>
      <c r="B192" s="6">
        <v>190</v>
      </c>
      <c r="C192" s="7" t="s">
        <v>215</v>
      </c>
      <c r="D192" s="8">
        <f>+'RVK ÍBUDARHUSNÆDI'!D215</f>
        <v>1</v>
      </c>
      <c r="E192" s="6" t="s">
        <v>210</v>
      </c>
      <c r="F192" s="6" t="s">
        <v>216</v>
      </c>
    </row>
    <row r="193" spans="1:6" s="7" customFormat="1" ht="21" customHeight="1" x14ac:dyDescent="0.25">
      <c r="A193"/>
      <c r="B193" s="6">
        <v>191</v>
      </c>
      <c r="C193" s="7" t="s">
        <v>217</v>
      </c>
      <c r="D193" s="8">
        <f>+'RVK ÍBUDARHUSNÆDI'!D216</f>
        <v>1</v>
      </c>
      <c r="E193" s="6" t="s">
        <v>210</v>
      </c>
      <c r="F193" s="6" t="s">
        <v>216</v>
      </c>
    </row>
    <row r="194" spans="1:6" s="7" customFormat="1" ht="21" customHeight="1" x14ac:dyDescent="0.25">
      <c r="A194" s="372"/>
      <c r="B194" s="6">
        <v>192</v>
      </c>
      <c r="C194" s="7" t="s">
        <v>534</v>
      </c>
      <c r="D194" s="8">
        <f>+'RVK ÍBUDARHUSNÆDI'!D217</f>
        <v>3</v>
      </c>
      <c r="E194" s="6" t="s">
        <v>210</v>
      </c>
      <c r="F194" s="6" t="s">
        <v>216</v>
      </c>
    </row>
    <row r="195" spans="1:6" s="7" customFormat="1" ht="21" customHeight="1" x14ac:dyDescent="0.25">
      <c r="A195"/>
      <c r="B195" s="6">
        <v>193</v>
      </c>
      <c r="C195" s="7" t="s">
        <v>218</v>
      </c>
      <c r="D195" s="8">
        <f>+'RVK ÍBUDARHUSNÆDI'!D218</f>
        <v>5</v>
      </c>
      <c r="E195" s="6" t="s">
        <v>210</v>
      </c>
      <c r="F195" s="6" t="s">
        <v>216</v>
      </c>
    </row>
    <row r="196" spans="1:6" s="7" customFormat="1" ht="21" customHeight="1" x14ac:dyDescent="0.25">
      <c r="A196"/>
      <c r="B196" s="6">
        <v>194</v>
      </c>
      <c r="C196" s="7" t="s">
        <v>219</v>
      </c>
      <c r="D196" s="8">
        <f>+'RVK ÍBUDARHUSNÆDI'!D219</f>
        <v>5</v>
      </c>
      <c r="E196" s="6" t="s">
        <v>210</v>
      </c>
      <c r="F196" s="6" t="s">
        <v>216</v>
      </c>
    </row>
    <row r="197" spans="1:6" s="10" customFormat="1" ht="21" customHeight="1" x14ac:dyDescent="0.25">
      <c r="A197"/>
      <c r="B197" s="6">
        <v>195</v>
      </c>
      <c r="C197" s="7" t="s">
        <v>220</v>
      </c>
      <c r="D197" s="8">
        <f>+'RVK ÍBUDARHUSNÆDI'!D220</f>
        <v>2</v>
      </c>
      <c r="E197" s="6" t="s">
        <v>210</v>
      </c>
      <c r="F197" s="6"/>
    </row>
    <row r="198" spans="1:6" s="10" customFormat="1" ht="21" customHeight="1" x14ac:dyDescent="0.25">
      <c r="A198"/>
      <c r="B198" s="6">
        <v>196</v>
      </c>
      <c r="C198" s="7" t="s">
        <v>221</v>
      </c>
      <c r="D198" s="8">
        <f>+'RVK ÍBUDARHUSNÆDI'!D221</f>
        <v>2</v>
      </c>
      <c r="E198" s="6" t="s">
        <v>210</v>
      </c>
      <c r="F198" s="6"/>
    </row>
    <row r="199" spans="1:6" s="10" customFormat="1" ht="21" customHeight="1" x14ac:dyDescent="0.25">
      <c r="A199"/>
      <c r="B199" s="6">
        <v>197</v>
      </c>
      <c r="C199" s="7" t="s">
        <v>222</v>
      </c>
      <c r="D199" s="8">
        <f>+'RVK ÍBUDARHUSNÆDI'!D222</f>
        <v>2</v>
      </c>
      <c r="E199" s="6" t="s">
        <v>210</v>
      </c>
      <c r="F199" s="6"/>
    </row>
    <row r="200" spans="1:6" s="10" customFormat="1" ht="21" customHeight="1" x14ac:dyDescent="0.25">
      <c r="A200" s="372"/>
      <c r="B200" s="6">
        <v>198</v>
      </c>
      <c r="C200" s="7" t="s">
        <v>535</v>
      </c>
      <c r="D200" s="8">
        <f>+'RVK ÍBUDARHUSNÆDI'!D223</f>
        <v>3</v>
      </c>
      <c r="E200" s="6" t="s">
        <v>210</v>
      </c>
      <c r="F200" s="6"/>
    </row>
    <row r="201" spans="1:6" s="10" customFormat="1" ht="21" customHeight="1" x14ac:dyDescent="0.25">
      <c r="A201"/>
      <c r="B201" s="6">
        <v>199</v>
      </c>
      <c r="C201" s="7" t="s">
        <v>223</v>
      </c>
      <c r="D201" s="8">
        <f>+'RVK ÍBUDARHUSNÆDI'!D224</f>
        <v>5</v>
      </c>
      <c r="E201" s="6" t="s">
        <v>210</v>
      </c>
      <c r="F201" s="6"/>
    </row>
    <row r="202" spans="1:6" s="10" customFormat="1" ht="21" customHeight="1" x14ac:dyDescent="0.25">
      <c r="A202"/>
      <c r="B202" s="6">
        <v>200</v>
      </c>
      <c r="C202" s="7" t="s">
        <v>224</v>
      </c>
      <c r="D202" s="8">
        <f>+'RVK ÍBUDARHUSNÆDI'!D225</f>
        <v>2</v>
      </c>
      <c r="E202" s="6" t="s">
        <v>210</v>
      </c>
      <c r="F202" s="6"/>
    </row>
    <row r="203" spans="1:6" s="10" customFormat="1" ht="21" customHeight="1" x14ac:dyDescent="0.25">
      <c r="A203"/>
      <c r="B203" s="6">
        <v>201</v>
      </c>
      <c r="C203" s="7" t="s">
        <v>225</v>
      </c>
      <c r="D203" s="8">
        <f>+'RVK ÍBUDARHUSNÆDI'!D226</f>
        <v>4</v>
      </c>
      <c r="E203" s="6" t="s">
        <v>210</v>
      </c>
      <c r="F203" s="6"/>
    </row>
    <row r="204" spans="1:6" s="10" customFormat="1" ht="21" customHeight="1" x14ac:dyDescent="0.25">
      <c r="A204"/>
      <c r="B204" s="6">
        <v>202</v>
      </c>
      <c r="C204" s="7" t="s">
        <v>226</v>
      </c>
      <c r="D204" s="8">
        <f>+'RVK ÍBUDARHUSNÆDI'!D227</f>
        <v>3</v>
      </c>
      <c r="E204" s="6" t="s">
        <v>210</v>
      </c>
      <c r="F204" s="6"/>
    </row>
    <row r="205" spans="1:6" s="7" customFormat="1" ht="21" customHeight="1" x14ac:dyDescent="0.25">
      <c r="A205"/>
      <c r="B205" s="6">
        <v>203</v>
      </c>
      <c r="C205" s="7" t="s">
        <v>227</v>
      </c>
      <c r="D205" s="8">
        <f>+'RVK ÍBUDARHUSNÆDI'!D228</f>
        <v>2</v>
      </c>
      <c r="E205" s="6" t="s">
        <v>228</v>
      </c>
      <c r="F205" s="6" t="s">
        <v>229</v>
      </c>
    </row>
    <row r="206" spans="1:6" s="7" customFormat="1" ht="21" customHeight="1" x14ac:dyDescent="0.25">
      <c r="A206"/>
      <c r="B206" s="6">
        <v>204</v>
      </c>
      <c r="C206" s="7" t="s">
        <v>230</v>
      </c>
      <c r="D206" s="8">
        <f>+'RVK ÍBUDARHUSNÆDI'!D229</f>
        <v>3</v>
      </c>
      <c r="E206" s="6" t="s">
        <v>228</v>
      </c>
      <c r="F206" s="6" t="s">
        <v>229</v>
      </c>
    </row>
    <row r="207" spans="1:6" s="10" customFormat="1" ht="21" customHeight="1" x14ac:dyDescent="0.25">
      <c r="A207"/>
      <c r="B207" s="6">
        <v>205</v>
      </c>
      <c r="C207" s="7" t="s">
        <v>231</v>
      </c>
      <c r="D207" s="8">
        <f>+'RVK ÍBUDARHUSNÆDI'!D230</f>
        <v>5</v>
      </c>
      <c r="E207" s="6" t="s">
        <v>228</v>
      </c>
      <c r="F207" s="6"/>
    </row>
    <row r="208" spans="1:6" s="10" customFormat="1" ht="21" customHeight="1" x14ac:dyDescent="0.25">
      <c r="A208"/>
      <c r="B208" s="6">
        <v>206</v>
      </c>
      <c r="C208" s="7" t="s">
        <v>232</v>
      </c>
      <c r="D208" s="8">
        <f>+'RVK ÍBUDARHUSNÆDI'!D231</f>
        <v>1</v>
      </c>
      <c r="E208" s="6" t="s">
        <v>228</v>
      </c>
      <c r="F208" s="6"/>
    </row>
    <row r="209" spans="1:6" s="10" customFormat="1" ht="21" customHeight="1" x14ac:dyDescent="0.25">
      <c r="A209"/>
      <c r="B209" s="6">
        <v>207</v>
      </c>
      <c r="C209" s="7" t="s">
        <v>233</v>
      </c>
      <c r="D209" s="8">
        <f>+'RVK ÍBUDARHUSNÆDI'!D232</f>
        <v>2</v>
      </c>
      <c r="E209" s="6" t="s">
        <v>228</v>
      </c>
      <c r="F209" s="6"/>
    </row>
    <row r="210" spans="1:6" s="10" customFormat="1" ht="21" customHeight="1" x14ac:dyDescent="0.25">
      <c r="A210"/>
      <c r="B210" s="6">
        <v>208</v>
      </c>
      <c r="C210" s="7" t="s">
        <v>234</v>
      </c>
      <c r="D210" s="8">
        <f>+'RVK ÍBUDARHUSNÆDI'!D233</f>
        <v>3</v>
      </c>
      <c r="E210" s="6" t="s">
        <v>228</v>
      </c>
      <c r="F210" s="6"/>
    </row>
    <row r="211" spans="1:6" s="10" customFormat="1" ht="21" customHeight="1" x14ac:dyDescent="0.25">
      <c r="A211"/>
      <c r="B211" s="6">
        <v>209</v>
      </c>
      <c r="C211" s="7" t="s">
        <v>235</v>
      </c>
      <c r="D211" s="8">
        <f>+'RVK ÍBUDARHUSNÆDI'!D234</f>
        <v>4</v>
      </c>
      <c r="E211" s="6" t="s">
        <v>228</v>
      </c>
      <c r="F211" s="6"/>
    </row>
    <row r="212" spans="1:6" s="10" customFormat="1" ht="21" customHeight="1" x14ac:dyDescent="0.25">
      <c r="A212"/>
      <c r="B212" s="6">
        <v>210</v>
      </c>
      <c r="C212" s="7" t="s">
        <v>236</v>
      </c>
      <c r="D212" s="8">
        <f>+'RVK ÍBUDARHUSNÆDI'!D235</f>
        <v>1</v>
      </c>
      <c r="E212" s="6" t="s">
        <v>228</v>
      </c>
      <c r="F212" s="6"/>
    </row>
    <row r="213" spans="1:6" s="7" customFormat="1" ht="21" customHeight="1" x14ac:dyDescent="0.25">
      <c r="A213"/>
      <c r="B213" s="6">
        <v>211</v>
      </c>
      <c r="C213" s="7" t="s">
        <v>237</v>
      </c>
      <c r="D213" s="8">
        <f>+'RVK ÍBUDARHUSNÆDI'!D236</f>
        <v>5</v>
      </c>
      <c r="E213" s="6" t="s">
        <v>228</v>
      </c>
      <c r="F213" s="6"/>
    </row>
  </sheetData>
  <mergeCells count="3">
    <mergeCell ref="A2:A3"/>
    <mergeCell ref="B2:C2"/>
    <mergeCell ref="D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9CA2-2151-4C83-9841-5EC59EAAA1F6}">
  <sheetPr>
    <tabColor theme="9" tint="0.39997558519241921"/>
  </sheetPr>
  <dimension ref="A1:AE411"/>
  <sheetViews>
    <sheetView showGridLines="0" topLeftCell="A91" zoomScale="85" zoomScaleNormal="85" workbookViewId="0">
      <selection activeCell="C104" sqref="C104"/>
    </sheetView>
  </sheetViews>
  <sheetFormatPr defaultRowHeight="21" customHeight="1" x14ac:dyDescent="0.25"/>
  <cols>
    <col min="1" max="1" width="7.42578125" style="13" customWidth="1"/>
    <col min="2" max="2" width="4" style="1" customWidth="1"/>
    <col min="3" max="3" width="51.5703125" customWidth="1"/>
    <col min="4" max="4" width="9.140625" style="1" customWidth="1"/>
    <col min="5" max="5" width="14" style="1" customWidth="1"/>
    <col min="6" max="6" width="19.42578125" style="1" customWidth="1"/>
    <col min="7" max="10" width="11.42578125" style="1" customWidth="1"/>
    <col min="11" max="11" width="1.5703125" style="1" customWidth="1"/>
    <col min="12" max="12" width="8.7109375" style="14" customWidth="1"/>
    <col min="13" max="14" width="8.5703125" style="1" customWidth="1"/>
    <col min="15" max="15" width="13" style="1" customWidth="1"/>
    <col min="16" max="26" width="10.5703125" style="1" customWidth="1"/>
    <col min="27" max="27" width="11.42578125" style="1" customWidth="1"/>
  </cols>
  <sheetData>
    <row r="1" spans="1:26" ht="9" customHeight="1" x14ac:dyDescent="0.25"/>
    <row r="2" spans="1:26" ht="23.25" customHeight="1" x14ac:dyDescent="0.3">
      <c r="B2" s="423" t="s">
        <v>307</v>
      </c>
      <c r="C2" s="424"/>
      <c r="D2" s="424"/>
      <c r="E2" s="424"/>
      <c r="F2" s="424"/>
      <c r="G2" s="424"/>
      <c r="H2" s="424"/>
      <c r="I2" s="424"/>
      <c r="J2" s="424"/>
      <c r="L2" s="423" t="s">
        <v>239</v>
      </c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26" ht="9" customHeight="1" thickBot="1" x14ac:dyDescent="0.3"/>
    <row r="4" spans="1:26" ht="21" customHeight="1" thickBot="1" x14ac:dyDescent="0.3">
      <c r="B4" s="15"/>
      <c r="C4" s="16" t="s">
        <v>240</v>
      </c>
      <c r="D4" s="17" t="s">
        <v>4</v>
      </c>
      <c r="E4" s="17" t="s">
        <v>5</v>
      </c>
      <c r="F4" s="17" t="s">
        <v>6</v>
      </c>
      <c r="G4" s="17" t="s">
        <v>308</v>
      </c>
      <c r="H4" s="18" t="s">
        <v>242</v>
      </c>
      <c r="I4" s="19" t="s">
        <v>243</v>
      </c>
      <c r="J4" s="20"/>
      <c r="K4" s="21"/>
      <c r="L4" s="22" t="s">
        <v>244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1" customHeight="1" x14ac:dyDescent="0.25">
      <c r="B5" s="24"/>
      <c r="C5" s="25" t="s">
        <v>245</v>
      </c>
      <c r="D5" s="26"/>
      <c r="E5" s="26" t="s">
        <v>246</v>
      </c>
      <c r="F5" s="26" t="s">
        <v>309</v>
      </c>
      <c r="G5" s="27">
        <f>+SUM(H27:H218)</f>
        <v>2503</v>
      </c>
      <c r="H5" s="28"/>
      <c r="I5" s="29"/>
      <c r="J5" s="30"/>
      <c r="L5" s="31"/>
      <c r="M5" s="438" t="s">
        <v>247</v>
      </c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40"/>
    </row>
    <row r="6" spans="1:26" ht="21" customHeight="1" x14ac:dyDescent="0.25">
      <c r="B6" s="32"/>
      <c r="C6" s="33" t="s">
        <v>248</v>
      </c>
      <c r="D6" s="34">
        <v>1</v>
      </c>
      <c r="E6" s="34" t="s">
        <v>246</v>
      </c>
      <c r="F6" s="34" t="s">
        <v>309</v>
      </c>
      <c r="G6" s="35">
        <f>+SUMIF(D$27:D$218,"1",I$27:I$218)</f>
        <v>2063</v>
      </c>
      <c r="H6" s="35">
        <f>+'RVK ÍB19'!I47</f>
        <v>4062</v>
      </c>
      <c r="I6" s="36">
        <f>+G6/H6-1</f>
        <v>-0.49212210733628758</v>
      </c>
      <c r="J6" s="37"/>
      <c r="K6" s="148"/>
      <c r="L6" s="39"/>
      <c r="M6" s="441" t="s">
        <v>249</v>
      </c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3"/>
    </row>
    <row r="7" spans="1:26" ht="21" customHeight="1" x14ac:dyDescent="0.25">
      <c r="A7" s="149"/>
      <c r="B7" s="150"/>
      <c r="C7" t="s">
        <v>250</v>
      </c>
      <c r="E7" s="54" t="s">
        <v>246</v>
      </c>
      <c r="F7" s="54" t="s">
        <v>309</v>
      </c>
      <c r="G7" s="42">
        <f>+G8+G9</f>
        <v>4759</v>
      </c>
      <c r="H7" s="42">
        <f>+'RVK ÍB19'!I73</f>
        <v>4646</v>
      </c>
      <c r="I7" s="151">
        <f>+G7/H7-1</f>
        <v>2.4321997417132923E-2</v>
      </c>
      <c r="J7" s="152"/>
      <c r="K7" s="153"/>
      <c r="L7" s="46"/>
      <c r="M7" s="441" t="s">
        <v>251</v>
      </c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3"/>
    </row>
    <row r="8" spans="1:26" ht="21" customHeight="1" thickBot="1" x14ac:dyDescent="0.3">
      <c r="A8" s="149"/>
      <c r="B8" s="154"/>
      <c r="C8" s="48" t="s">
        <v>252</v>
      </c>
      <c r="D8" s="54">
        <v>1</v>
      </c>
      <c r="E8" s="54" t="s">
        <v>246</v>
      </c>
      <c r="F8" s="54" t="s">
        <v>309</v>
      </c>
      <c r="G8" s="155">
        <f>+SUMIF(D$27:D$218,"1",J$27:J$218)</f>
        <v>2546</v>
      </c>
      <c r="H8" s="49"/>
      <c r="I8" s="151"/>
      <c r="J8" s="156"/>
      <c r="K8" s="148"/>
      <c r="L8" s="51"/>
      <c r="M8" s="434" t="s">
        <v>253</v>
      </c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6"/>
    </row>
    <row r="9" spans="1:26" ht="21" customHeight="1" thickBot="1" x14ac:dyDescent="0.3">
      <c r="A9" s="149"/>
      <c r="B9" s="154"/>
      <c r="C9" s="48" t="s">
        <v>254</v>
      </c>
      <c r="D9" s="54">
        <v>2</v>
      </c>
      <c r="E9" s="54" t="s">
        <v>246</v>
      </c>
      <c r="F9" s="54" t="s">
        <v>309</v>
      </c>
      <c r="G9" s="155">
        <f>+SUMIF(D$27:D$218,"2",J$27:J$218)</f>
        <v>2213</v>
      </c>
      <c r="H9" s="49"/>
      <c r="I9" s="151"/>
      <c r="J9" s="152"/>
      <c r="K9" s="153"/>
      <c r="L9" s="22" t="s">
        <v>255</v>
      </c>
      <c r="T9" s="23"/>
    </row>
    <row r="10" spans="1:26" ht="21" customHeight="1" x14ac:dyDescent="0.25">
      <c r="A10" s="149"/>
      <c r="B10" s="154"/>
      <c r="C10" s="52" t="s">
        <v>256</v>
      </c>
      <c r="D10" s="54">
        <v>3</v>
      </c>
      <c r="E10" s="54" t="s">
        <v>246</v>
      </c>
      <c r="F10" s="54" t="s">
        <v>309</v>
      </c>
      <c r="G10" s="49">
        <f>+SUMIF(D$27:D$218,"3",G$27:G$218)</f>
        <v>7964</v>
      </c>
      <c r="H10" s="49">
        <f>+'RVK ÍB19'!I89</f>
        <v>8622</v>
      </c>
      <c r="I10" s="151">
        <f t="shared" ref="I10:I13" si="0">+G10/H10-1</f>
        <v>-7.6316399907214061E-2</v>
      </c>
      <c r="J10" s="157"/>
      <c r="L10" s="444" t="s">
        <v>257</v>
      </c>
      <c r="M10" s="445"/>
      <c r="N10" s="446" t="s">
        <v>258</v>
      </c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8"/>
    </row>
    <row r="11" spans="1:26" ht="21" customHeight="1" x14ac:dyDescent="0.25">
      <c r="A11" s="149"/>
      <c r="B11" s="150"/>
      <c r="C11" t="s">
        <v>310</v>
      </c>
      <c r="E11" s="54" t="s">
        <v>246</v>
      </c>
      <c r="F11" s="54" t="s">
        <v>309</v>
      </c>
      <c r="G11" s="49">
        <f>+G12+G13</f>
        <v>21676</v>
      </c>
      <c r="H11" s="49">
        <f>+H12+H13</f>
        <v>19315</v>
      </c>
      <c r="I11" s="151">
        <f t="shared" si="0"/>
        <v>0.1222366036758995</v>
      </c>
      <c r="J11" s="157"/>
      <c r="L11" s="427" t="s">
        <v>260</v>
      </c>
      <c r="M11" s="428"/>
      <c r="N11" s="429" t="s">
        <v>261</v>
      </c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</row>
    <row r="12" spans="1:26" ht="21" customHeight="1" x14ac:dyDescent="0.25">
      <c r="A12" s="149"/>
      <c r="B12" s="154"/>
      <c r="C12" s="48" t="s">
        <v>262</v>
      </c>
      <c r="D12" s="54">
        <v>4</v>
      </c>
      <c r="E12" s="54" t="s">
        <v>246</v>
      </c>
      <c r="F12" s="54" t="s">
        <v>309</v>
      </c>
      <c r="G12" s="155">
        <f>+SUMIF(D$27:D$218,"4",G$27:G$218)</f>
        <v>8309</v>
      </c>
      <c r="H12" s="155">
        <f>+'RVK ÍB19'!I108</f>
        <v>7535</v>
      </c>
      <c r="I12" s="151">
        <f t="shared" si="0"/>
        <v>0.10272063702720646</v>
      </c>
      <c r="J12" s="157"/>
      <c r="L12" s="427" t="s">
        <v>263</v>
      </c>
      <c r="M12" s="428"/>
      <c r="N12" s="449" t="s">
        <v>264</v>
      </c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1"/>
    </row>
    <row r="13" spans="1:26" ht="21" customHeight="1" x14ac:dyDescent="0.25">
      <c r="A13" s="149"/>
      <c r="B13" s="158"/>
      <c r="C13" s="57" t="s">
        <v>265</v>
      </c>
      <c r="D13" s="58">
        <v>5</v>
      </c>
      <c r="E13" s="58" t="s">
        <v>246</v>
      </c>
      <c r="F13" s="58" t="s">
        <v>309</v>
      </c>
      <c r="G13" s="159">
        <f>+SUMIF(D$27:D$218,"5",G$27:G$218)</f>
        <v>13367</v>
      </c>
      <c r="H13" s="160">
        <f>+'RVK ÍB19'!I131</f>
        <v>11780</v>
      </c>
      <c r="I13" s="161">
        <f t="shared" si="0"/>
        <v>0.13471986417657056</v>
      </c>
      <c r="J13" s="162"/>
      <c r="L13" s="427" t="s">
        <v>266</v>
      </c>
      <c r="M13" s="428"/>
      <c r="N13" s="429" t="s">
        <v>267</v>
      </c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</row>
    <row r="14" spans="1:26" ht="21" customHeight="1" thickBot="1" x14ac:dyDescent="0.3">
      <c r="B14" s="63"/>
      <c r="C14" s="64" t="s">
        <v>268</v>
      </c>
      <c r="D14" s="65"/>
      <c r="E14" s="65"/>
      <c r="F14" s="96"/>
      <c r="G14" s="67">
        <f>G7+SUM(G10:G11)</f>
        <v>34399</v>
      </c>
      <c r="H14" s="67">
        <f>SUM(H6:H11)</f>
        <v>36645</v>
      </c>
      <c r="I14" s="163">
        <f>+G14/H14-1</f>
        <v>-6.1290762723427483E-2</v>
      </c>
      <c r="J14" s="164"/>
      <c r="L14" s="432" t="s">
        <v>269</v>
      </c>
      <c r="M14" s="433"/>
      <c r="N14" s="452" t="s">
        <v>270</v>
      </c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4"/>
    </row>
    <row r="15" spans="1:26" ht="9" customHeight="1" thickBot="1" x14ac:dyDescent="0.3"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1" customHeight="1" thickBot="1" x14ac:dyDescent="0.3">
      <c r="B16" s="15"/>
      <c r="C16" s="71" t="s">
        <v>311</v>
      </c>
      <c r="D16" s="17"/>
      <c r="E16" s="17" t="s">
        <v>5</v>
      </c>
      <c r="F16" s="72" t="s">
        <v>6</v>
      </c>
      <c r="G16" s="73" t="s">
        <v>312</v>
      </c>
      <c r="H16" s="73" t="s">
        <v>272</v>
      </c>
      <c r="I16" s="74" t="s">
        <v>273</v>
      </c>
      <c r="J16" s="20"/>
      <c r="M16" s="22" t="s">
        <v>274</v>
      </c>
      <c r="S16" s="455" t="s">
        <v>275</v>
      </c>
      <c r="T16" s="455"/>
      <c r="U16" s="455"/>
      <c r="V16" s="455"/>
      <c r="W16" s="455"/>
      <c r="X16" s="455"/>
      <c r="Y16" s="455"/>
      <c r="Z16" s="455"/>
    </row>
    <row r="17" spans="1:31" ht="21" customHeight="1" x14ac:dyDescent="0.25">
      <c r="B17" s="150"/>
      <c r="C17" t="s">
        <v>276</v>
      </c>
      <c r="E17" s="1" t="s">
        <v>246</v>
      </c>
      <c r="F17" s="1" t="s">
        <v>309</v>
      </c>
      <c r="G17" s="49">
        <f>SUM(V$27:V$218)</f>
        <v>610.52777777777783</v>
      </c>
      <c r="H17" s="76" t="s">
        <v>277</v>
      </c>
      <c r="I17" s="77"/>
      <c r="J17" s="165"/>
      <c r="M17" s="79" t="s">
        <v>4</v>
      </c>
      <c r="N17" s="462" t="s">
        <v>278</v>
      </c>
      <c r="O17" s="463"/>
      <c r="P17" s="463"/>
      <c r="Q17" s="464"/>
      <c r="R17" s="23"/>
      <c r="S17" s="455" t="s">
        <v>279</v>
      </c>
      <c r="T17" s="455"/>
      <c r="U17" s="455"/>
      <c r="V17" s="455"/>
      <c r="W17" s="455"/>
      <c r="X17" s="455"/>
      <c r="Y17" s="455"/>
      <c r="Z17" s="455"/>
    </row>
    <row r="18" spans="1:31" ht="21" customHeight="1" x14ac:dyDescent="0.25">
      <c r="B18" s="154"/>
      <c r="C18" s="166">
        <v>2021</v>
      </c>
      <c r="D18" s="54"/>
      <c r="E18" s="54" t="s">
        <v>246</v>
      </c>
      <c r="F18" s="54" t="s">
        <v>309</v>
      </c>
      <c r="G18" s="49">
        <f>SUM(W$27:W$218)</f>
        <v>1007.9999999999999</v>
      </c>
      <c r="H18" s="76" t="s">
        <v>277</v>
      </c>
      <c r="I18" s="54"/>
      <c r="J18" s="157"/>
      <c r="M18" s="46">
        <v>1</v>
      </c>
      <c r="N18" s="465" t="s">
        <v>280</v>
      </c>
      <c r="O18" s="465"/>
      <c r="P18" s="465"/>
      <c r="Q18" s="466"/>
      <c r="R18" s="23"/>
      <c r="S18" s="455"/>
      <c r="T18" s="455"/>
      <c r="U18" s="455"/>
      <c r="V18" s="455"/>
      <c r="W18" s="455"/>
      <c r="X18" s="455"/>
      <c r="Y18" s="455"/>
      <c r="Z18" s="455"/>
    </row>
    <row r="19" spans="1:31" ht="21" customHeight="1" x14ac:dyDescent="0.25">
      <c r="B19" s="150"/>
      <c r="C19" s="167">
        <v>2022</v>
      </c>
      <c r="E19" s="1" t="s">
        <v>246</v>
      </c>
      <c r="F19" s="1" t="s">
        <v>309</v>
      </c>
      <c r="G19" s="49">
        <f>SUM(X$27:X$218)</f>
        <v>920.46278825995807</v>
      </c>
      <c r="H19" s="76" t="s">
        <v>277</v>
      </c>
      <c r="I19" s="82"/>
      <c r="J19" s="157"/>
      <c r="M19" s="46">
        <v>2</v>
      </c>
      <c r="N19" s="460" t="s">
        <v>281</v>
      </c>
      <c r="O19" s="460"/>
      <c r="P19" s="460"/>
      <c r="Q19" s="461"/>
      <c r="R19" s="23"/>
      <c r="S19" s="467" t="s">
        <v>282</v>
      </c>
      <c r="T19" s="467"/>
      <c r="U19" s="467"/>
      <c r="V19" s="467"/>
      <c r="W19" s="467"/>
      <c r="X19" s="467"/>
      <c r="Y19" s="467"/>
      <c r="Z19" s="467"/>
    </row>
    <row r="20" spans="1:31" ht="21" customHeight="1" x14ac:dyDescent="0.25">
      <c r="B20" s="154"/>
      <c r="C20" s="166" t="s">
        <v>283</v>
      </c>
      <c r="D20" s="54"/>
      <c r="E20" s="54" t="s">
        <v>246</v>
      </c>
      <c r="F20" s="54" t="s">
        <v>309</v>
      </c>
      <c r="G20" s="49">
        <f>SUM(Y$27:Y$218)</f>
        <v>1035.4384827044023</v>
      </c>
      <c r="H20" s="76" t="s">
        <v>277</v>
      </c>
      <c r="I20" s="54"/>
      <c r="J20" s="157"/>
      <c r="M20" s="46">
        <v>3</v>
      </c>
      <c r="N20" s="460" t="s">
        <v>284</v>
      </c>
      <c r="O20" s="460"/>
      <c r="P20" s="460"/>
      <c r="Q20" s="461"/>
      <c r="R20" s="23"/>
      <c r="S20" s="467"/>
      <c r="T20" s="467"/>
      <c r="U20" s="467"/>
      <c r="V20" s="467"/>
      <c r="W20" s="467"/>
      <c r="X20" s="467"/>
      <c r="Y20" s="467"/>
      <c r="Z20" s="467"/>
    </row>
    <row r="21" spans="1:31" ht="21" customHeight="1" x14ac:dyDescent="0.25">
      <c r="B21" s="87"/>
      <c r="C21" s="168" t="s">
        <v>285</v>
      </c>
      <c r="D21" s="89"/>
      <c r="E21" s="89" t="s">
        <v>246</v>
      </c>
      <c r="F21" s="89" t="s">
        <v>309</v>
      </c>
      <c r="G21" s="60">
        <f>SUM(Z$27:Z$218)</f>
        <v>1125.2498797632261</v>
      </c>
      <c r="H21" s="85" t="s">
        <v>277</v>
      </c>
      <c r="I21" s="58"/>
      <c r="J21" s="162"/>
      <c r="M21" s="46">
        <v>4</v>
      </c>
      <c r="N21" s="460" t="s">
        <v>259</v>
      </c>
      <c r="O21" s="460"/>
      <c r="P21" s="460"/>
      <c r="Q21" s="461"/>
      <c r="R21" s="23"/>
      <c r="U21" s="86"/>
      <c r="V21" s="86"/>
      <c r="W21" s="86"/>
      <c r="X21" s="86"/>
      <c r="Y21" s="86"/>
      <c r="Z21" s="86"/>
    </row>
    <row r="22" spans="1:31" ht="21" customHeight="1" thickBot="1" x14ac:dyDescent="0.3">
      <c r="B22" s="87"/>
      <c r="C22" s="88" t="s">
        <v>286</v>
      </c>
      <c r="D22" s="89"/>
      <c r="E22" s="89"/>
      <c r="F22" s="89"/>
      <c r="G22" s="90">
        <f>+SUM(G17:G21)</f>
        <v>4699.6789285053637</v>
      </c>
      <c r="H22" s="89"/>
      <c r="I22" s="91"/>
      <c r="J22" s="169"/>
      <c r="M22" s="93">
        <v>5</v>
      </c>
      <c r="N22" s="456" t="s">
        <v>287</v>
      </c>
      <c r="O22" s="456"/>
      <c r="P22" s="456"/>
      <c r="Q22" s="457"/>
      <c r="R22" s="23"/>
      <c r="S22" s="23"/>
      <c r="U22" s="86"/>
      <c r="V22" s="86"/>
      <c r="W22" s="86"/>
      <c r="X22" s="86"/>
      <c r="Y22" s="86"/>
      <c r="Z22" s="86"/>
    </row>
    <row r="23" spans="1:31" ht="21" customHeight="1" thickBot="1" x14ac:dyDescent="0.3">
      <c r="B23" s="94"/>
      <c r="C23" s="95" t="s">
        <v>288</v>
      </c>
      <c r="D23" s="96"/>
      <c r="E23" s="96"/>
      <c r="F23" s="96"/>
      <c r="G23" s="67">
        <f>+G22/4.5</f>
        <v>1044.3730952234141</v>
      </c>
      <c r="H23" s="96"/>
      <c r="I23" s="96"/>
      <c r="J23" s="164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31" ht="9" customHeight="1" x14ac:dyDescent="0.25"/>
    <row r="25" spans="1:31" s="2" customFormat="1" ht="21" customHeight="1" x14ac:dyDescent="0.3">
      <c r="A25" s="470"/>
      <c r="B25" s="469"/>
      <c r="C25" s="469"/>
      <c r="D25" s="423" t="s">
        <v>1</v>
      </c>
      <c r="E25" s="424"/>
      <c r="F25" s="424"/>
      <c r="G25" s="424"/>
      <c r="H25" s="424"/>
      <c r="I25" s="424"/>
      <c r="J25" s="471"/>
      <c r="K25" s="98"/>
      <c r="L25" s="423" t="s">
        <v>313</v>
      </c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1"/>
      <c r="AB25" s="1"/>
      <c r="AC25" s="1"/>
      <c r="AD25" s="1"/>
      <c r="AE25" s="1"/>
    </row>
    <row r="26" spans="1:31" s="5" customFormat="1" ht="21" customHeight="1" x14ac:dyDescent="0.25">
      <c r="A26" s="470"/>
      <c r="B26" s="3" t="s">
        <v>2</v>
      </c>
      <c r="C26" s="4" t="s">
        <v>3</v>
      </c>
      <c r="D26" s="3" t="s">
        <v>4</v>
      </c>
      <c r="E26" s="3" t="s">
        <v>5</v>
      </c>
      <c r="F26" s="3" t="s">
        <v>6</v>
      </c>
      <c r="G26" s="3" t="s">
        <v>314</v>
      </c>
      <c r="H26" s="3" t="s">
        <v>291</v>
      </c>
      <c r="I26" s="3" t="s">
        <v>292</v>
      </c>
      <c r="J26" s="3" t="s">
        <v>293</v>
      </c>
      <c r="K26" s="170"/>
      <c r="L26" s="171" t="s">
        <v>257</v>
      </c>
      <c r="M26" s="171" t="s">
        <v>294</v>
      </c>
      <c r="N26" s="171" t="s">
        <v>263</v>
      </c>
      <c r="O26" s="171" t="s">
        <v>266</v>
      </c>
      <c r="P26" s="3" t="s">
        <v>269</v>
      </c>
      <c r="Q26" s="172" t="s">
        <v>295</v>
      </c>
      <c r="R26" s="172" t="s">
        <v>296</v>
      </c>
      <c r="S26" s="172" t="s">
        <v>297</v>
      </c>
      <c r="T26" s="172" t="s">
        <v>298</v>
      </c>
      <c r="U26" s="172" t="s">
        <v>299</v>
      </c>
      <c r="V26" s="172" t="s">
        <v>315</v>
      </c>
      <c r="W26" s="172" t="s">
        <v>316</v>
      </c>
      <c r="X26" s="172" t="s">
        <v>317</v>
      </c>
      <c r="Y26" s="172" t="s">
        <v>318</v>
      </c>
      <c r="Z26" s="172" t="s">
        <v>319</v>
      </c>
      <c r="AA26" s="1"/>
      <c r="AB26" s="1"/>
      <c r="AC26" s="1"/>
      <c r="AD26" s="1"/>
      <c r="AE26" s="1"/>
    </row>
    <row r="27" spans="1:31" s="7" customFormat="1" ht="21" customHeight="1" x14ac:dyDescent="0.25">
      <c r="A27" s="11"/>
      <c r="B27" s="6"/>
      <c r="C27" s="7" t="s">
        <v>7</v>
      </c>
      <c r="D27" s="8">
        <v>2</v>
      </c>
      <c r="E27" s="6" t="s">
        <v>8</v>
      </c>
      <c r="F27" s="6" t="s">
        <v>9</v>
      </c>
      <c r="G27" s="112">
        <v>176</v>
      </c>
      <c r="H27" s="112">
        <v>0</v>
      </c>
      <c r="I27" s="112">
        <v>0</v>
      </c>
      <c r="J27" s="6">
        <f t="shared" ref="J27:J32" si="1">+IF(D27=1,(G27-H27-I27),IF(D27=2,(G27-H27-I27),0))</f>
        <v>176</v>
      </c>
      <c r="K27" s="6"/>
      <c r="L27" s="112">
        <v>3</v>
      </c>
      <c r="M27" s="6">
        <f>+L27*12</f>
        <v>36</v>
      </c>
      <c r="N27" s="112">
        <v>6.1</v>
      </c>
      <c r="O27" s="112">
        <v>9.5</v>
      </c>
      <c r="P27" s="6">
        <f>+N27+O27+24</f>
        <v>39.6</v>
      </c>
      <c r="Q27" s="113">
        <f t="shared" ref="Q27:U30" si="2">IFERROR(IF(AND((Q$220-$P27)/$M27&gt;0,(Q$220-$P27)/$M27&lt;1),(Q$220-$P27)/$M27,IF((Q$220-$P27)/$M27&gt;0,1,0)),0)</f>
        <v>0</v>
      </c>
      <c r="R27" s="113">
        <f t="shared" si="2"/>
        <v>0</v>
      </c>
      <c r="S27" s="113">
        <f t="shared" si="2"/>
        <v>0</v>
      </c>
      <c r="T27" s="113">
        <f t="shared" si="2"/>
        <v>6.6666666666666624E-2</v>
      </c>
      <c r="U27" s="113">
        <f t="shared" si="2"/>
        <v>0.39999999999999997</v>
      </c>
      <c r="V27" s="114">
        <f t="shared" ref="V27:V115" si="3">Q27*($G27-$H27)</f>
        <v>0</v>
      </c>
      <c r="W27" s="114">
        <f t="shared" ref="W27:W115" si="4">R27*($G27-$H27)-V27</f>
        <v>0</v>
      </c>
      <c r="X27" s="114">
        <f t="shared" ref="X27:X115" si="5">S27*($G27-$H27)-SUM(V27:W27)</f>
        <v>0</v>
      </c>
      <c r="Y27" s="114">
        <f t="shared" ref="Y27:Y115" si="6">T27*($G27-$H27)-SUM(V27:X27)</f>
        <v>11.733333333333325</v>
      </c>
      <c r="Z27" s="114">
        <f t="shared" ref="Z27:Z115" si="7">U27*($G27-$H27)-SUM(V27:Y27)</f>
        <v>58.666666666666664</v>
      </c>
      <c r="AA27" s="6"/>
      <c r="AB27" s="6"/>
      <c r="AC27" s="6"/>
      <c r="AD27" s="6"/>
      <c r="AE27" s="6"/>
    </row>
    <row r="28" spans="1:31" s="7" customFormat="1" ht="21" customHeight="1" x14ac:dyDescent="0.25">
      <c r="A28" s="11"/>
      <c r="B28" s="6"/>
      <c r="C28" s="7" t="s">
        <v>10</v>
      </c>
      <c r="D28" s="8">
        <v>2</v>
      </c>
      <c r="E28" s="6" t="s">
        <v>8</v>
      </c>
      <c r="F28" s="6" t="s">
        <v>9</v>
      </c>
      <c r="G28" s="112">
        <v>102</v>
      </c>
      <c r="H28" s="112">
        <v>0</v>
      </c>
      <c r="I28" s="112">
        <v>0</v>
      </c>
      <c r="J28" s="6">
        <f t="shared" si="1"/>
        <v>102</v>
      </c>
      <c r="K28" s="6"/>
      <c r="L28" s="112">
        <v>2</v>
      </c>
      <c r="M28" s="6">
        <f t="shared" ref="M28:M50" si="8">+L28*12</f>
        <v>24</v>
      </c>
      <c r="N28" s="112">
        <v>6</v>
      </c>
      <c r="O28" s="112">
        <v>0</v>
      </c>
      <c r="P28" s="6">
        <f>+N28+O28+24</f>
        <v>30</v>
      </c>
      <c r="Q28" s="113">
        <f t="shared" si="2"/>
        <v>0</v>
      </c>
      <c r="R28" s="113">
        <f t="shared" si="2"/>
        <v>0</v>
      </c>
      <c r="S28" s="113">
        <f t="shared" si="2"/>
        <v>0</v>
      </c>
      <c r="T28" s="113">
        <f t="shared" si="2"/>
        <v>0.5</v>
      </c>
      <c r="U28" s="113">
        <f t="shared" si="2"/>
        <v>1</v>
      </c>
      <c r="V28" s="114">
        <f t="shared" si="3"/>
        <v>0</v>
      </c>
      <c r="W28" s="114">
        <f t="shared" si="4"/>
        <v>0</v>
      </c>
      <c r="X28" s="114">
        <f t="shared" si="5"/>
        <v>0</v>
      </c>
      <c r="Y28" s="114">
        <f t="shared" si="6"/>
        <v>51</v>
      </c>
      <c r="Z28" s="114">
        <f t="shared" si="7"/>
        <v>51</v>
      </c>
      <c r="AA28" s="6"/>
      <c r="AB28" s="6"/>
      <c r="AC28" s="6"/>
      <c r="AD28" s="6"/>
      <c r="AE28" s="6"/>
    </row>
    <row r="29" spans="1:31" s="7" customFormat="1" ht="21" customHeight="1" x14ac:dyDescent="0.25">
      <c r="A29" s="11"/>
      <c r="B29" s="6"/>
      <c r="C29" s="7" t="s">
        <v>11</v>
      </c>
      <c r="D29" s="8">
        <v>2</v>
      </c>
      <c r="E29" s="6" t="s">
        <v>8</v>
      </c>
      <c r="F29" s="6" t="s">
        <v>9</v>
      </c>
      <c r="G29" s="112">
        <v>228</v>
      </c>
      <c r="H29" s="112">
        <v>0</v>
      </c>
      <c r="I29" s="112">
        <v>0</v>
      </c>
      <c r="J29" s="6">
        <f t="shared" si="1"/>
        <v>228</v>
      </c>
      <c r="K29" s="6"/>
      <c r="L29" s="110" t="s">
        <v>306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2">
        <v>0</v>
      </c>
      <c r="W29" s="112">
        <v>0</v>
      </c>
      <c r="X29" s="112">
        <v>0</v>
      </c>
      <c r="Y29" s="112">
        <v>35</v>
      </c>
      <c r="Z29" s="112">
        <v>33</v>
      </c>
      <c r="AA29" s="6"/>
      <c r="AB29" s="6"/>
      <c r="AC29" s="6"/>
      <c r="AD29" s="6"/>
      <c r="AE29" s="6"/>
    </row>
    <row r="30" spans="1:31" s="7" customFormat="1" ht="21" customHeight="1" x14ac:dyDescent="0.25">
      <c r="A30" s="11"/>
      <c r="B30" s="6"/>
      <c r="C30" s="7" t="s">
        <v>523</v>
      </c>
      <c r="D30" s="8">
        <v>2</v>
      </c>
      <c r="E30" s="6" t="s">
        <v>8</v>
      </c>
      <c r="F30" s="6" t="s">
        <v>9</v>
      </c>
      <c r="G30" s="112">
        <v>6</v>
      </c>
      <c r="H30" s="112">
        <v>0</v>
      </c>
      <c r="I30" s="112">
        <v>0</v>
      </c>
      <c r="J30" s="6">
        <f t="shared" si="1"/>
        <v>6</v>
      </c>
      <c r="K30" s="6"/>
      <c r="L30" s="112">
        <v>0.5</v>
      </c>
      <c r="M30" s="6">
        <f t="shared" si="8"/>
        <v>6</v>
      </c>
      <c r="N30" s="112">
        <v>0</v>
      </c>
      <c r="O30" s="112">
        <v>6</v>
      </c>
      <c r="P30" s="6">
        <f>+N30+O30+16</f>
        <v>22</v>
      </c>
      <c r="Q30" s="113">
        <f t="shared" si="2"/>
        <v>0</v>
      </c>
      <c r="R30" s="113">
        <f t="shared" si="2"/>
        <v>0</v>
      </c>
      <c r="S30" s="113">
        <f t="shared" si="2"/>
        <v>1</v>
      </c>
      <c r="T30" s="113">
        <f t="shared" si="2"/>
        <v>1</v>
      </c>
      <c r="U30" s="113">
        <f t="shared" si="2"/>
        <v>1</v>
      </c>
      <c r="V30" s="114">
        <f t="shared" si="3"/>
        <v>0</v>
      </c>
      <c r="W30" s="114">
        <f t="shared" si="4"/>
        <v>0</v>
      </c>
      <c r="X30" s="114">
        <f t="shared" ref="X30" si="9">S30*($G30-$H30)-SUM(V30:W30)</f>
        <v>6</v>
      </c>
      <c r="Y30" s="114">
        <f t="shared" ref="Y30" si="10">T30*($G30-$H30)-SUM(V30:X30)</f>
        <v>0</v>
      </c>
      <c r="Z30" s="114">
        <f t="shared" si="7"/>
        <v>0</v>
      </c>
      <c r="AA30" s="6"/>
      <c r="AB30" s="6"/>
      <c r="AC30" s="6"/>
      <c r="AD30" s="6"/>
      <c r="AE30" s="6"/>
    </row>
    <row r="31" spans="1:31" s="132" customFormat="1" ht="21" customHeight="1" x14ac:dyDescent="0.25">
      <c r="A31" s="126"/>
      <c r="B31" s="6"/>
      <c r="C31" s="132" t="s">
        <v>12</v>
      </c>
      <c r="D31" s="133">
        <v>1</v>
      </c>
      <c r="E31" s="133" t="s">
        <v>8</v>
      </c>
      <c r="F31" s="133" t="s">
        <v>9</v>
      </c>
      <c r="G31" s="133">
        <v>78</v>
      </c>
      <c r="H31" s="133">
        <v>78</v>
      </c>
      <c r="I31" s="133">
        <v>0</v>
      </c>
      <c r="J31" s="133">
        <f t="shared" si="1"/>
        <v>0</v>
      </c>
      <c r="K31" s="133"/>
      <c r="L31" s="133"/>
      <c r="M31" s="133"/>
      <c r="N31" s="133"/>
      <c r="O31" s="133"/>
      <c r="P31" s="133"/>
      <c r="Q31" s="136"/>
      <c r="R31" s="136"/>
      <c r="S31" s="136"/>
      <c r="T31" s="136"/>
      <c r="U31" s="136"/>
      <c r="V31" s="137"/>
      <c r="W31" s="137"/>
      <c r="X31" s="137"/>
      <c r="Y31" s="137"/>
      <c r="Z31" s="137"/>
      <c r="AA31" s="133"/>
      <c r="AB31" s="133"/>
      <c r="AC31" s="133"/>
      <c r="AD31" s="133"/>
      <c r="AE31" s="133"/>
    </row>
    <row r="32" spans="1:31" s="7" customFormat="1" ht="21" customHeight="1" x14ac:dyDescent="0.25">
      <c r="A32" s="11"/>
      <c r="B32" s="6"/>
      <c r="C32" s="365" t="s">
        <v>13</v>
      </c>
      <c r="D32" s="8">
        <v>4</v>
      </c>
      <c r="E32" s="6" t="s">
        <v>8</v>
      </c>
      <c r="F32" s="6" t="s">
        <v>9</v>
      </c>
      <c r="G32" s="112">
        <v>75</v>
      </c>
      <c r="H32" s="112">
        <v>0</v>
      </c>
      <c r="I32" s="112">
        <v>0</v>
      </c>
      <c r="J32" s="6">
        <f t="shared" si="1"/>
        <v>0</v>
      </c>
      <c r="K32" s="6"/>
      <c r="L32" s="112">
        <v>1</v>
      </c>
      <c r="M32" s="6">
        <f t="shared" si="8"/>
        <v>12</v>
      </c>
      <c r="N32" s="112">
        <v>48</v>
      </c>
      <c r="O32" s="112">
        <v>14</v>
      </c>
      <c r="P32" s="6">
        <f t="shared" ref="P32:P42" si="11">+N32+O32+24</f>
        <v>86</v>
      </c>
      <c r="Q32" s="113">
        <f t="shared" ref="Q32:U35" si="12">IFERROR(IF(AND((Q$220-$P32)/$M32&gt;0,(Q$220-$P32)/$M32&lt;1),(Q$220-$P32)/$M32,IF((Q$220-$P32)/$M32&gt;0,1,0)),0)</f>
        <v>0</v>
      </c>
      <c r="R32" s="113">
        <f t="shared" si="12"/>
        <v>0</v>
      </c>
      <c r="S32" s="113">
        <f t="shared" si="12"/>
        <v>0</v>
      </c>
      <c r="T32" s="113">
        <f t="shared" si="12"/>
        <v>0</v>
      </c>
      <c r="U32" s="113">
        <f t="shared" si="12"/>
        <v>0</v>
      </c>
      <c r="V32" s="114">
        <f t="shared" si="3"/>
        <v>0</v>
      </c>
      <c r="W32" s="114">
        <f t="shared" si="4"/>
        <v>0</v>
      </c>
      <c r="X32" s="114">
        <f t="shared" si="5"/>
        <v>0</v>
      </c>
      <c r="Y32" s="114">
        <f t="shared" si="6"/>
        <v>0</v>
      </c>
      <c r="Z32" s="114">
        <f t="shared" si="7"/>
        <v>0</v>
      </c>
      <c r="AA32" s="6"/>
      <c r="AB32" s="6"/>
      <c r="AC32" s="6"/>
      <c r="AD32" s="6"/>
      <c r="AE32" s="6"/>
    </row>
    <row r="33" spans="1:31" s="7" customFormat="1" ht="21" customHeight="1" x14ac:dyDescent="0.25">
      <c r="A33" s="11"/>
      <c r="B33" s="6"/>
      <c r="C33" s="7" t="s">
        <v>14</v>
      </c>
      <c r="D33" s="8">
        <v>2</v>
      </c>
      <c r="E33" s="6" t="s">
        <v>8</v>
      </c>
      <c r="F33" s="6" t="s">
        <v>9</v>
      </c>
      <c r="G33" s="112">
        <v>84</v>
      </c>
      <c r="H33" s="112">
        <v>0</v>
      </c>
      <c r="I33" s="112">
        <v>0</v>
      </c>
      <c r="J33" s="6">
        <f>+IF(D33=1,(G33-H33-I33),IF(D33=2,(G33-H33-I33),0))</f>
        <v>84</v>
      </c>
      <c r="K33" s="6"/>
      <c r="L33" s="112">
        <v>1</v>
      </c>
      <c r="M33" s="6">
        <f t="shared" si="8"/>
        <v>12</v>
      </c>
      <c r="N33" s="112">
        <v>0</v>
      </c>
      <c r="O33" s="112">
        <v>14</v>
      </c>
      <c r="P33" s="6">
        <f t="shared" si="11"/>
        <v>38</v>
      </c>
      <c r="Q33" s="113">
        <f t="shared" si="12"/>
        <v>0</v>
      </c>
      <c r="R33" s="113">
        <f t="shared" si="12"/>
        <v>0</v>
      </c>
      <c r="S33" s="113">
        <f t="shared" si="12"/>
        <v>0</v>
      </c>
      <c r="T33" s="113">
        <f t="shared" si="12"/>
        <v>0.33333333333333331</v>
      </c>
      <c r="U33" s="113">
        <f t="shared" si="12"/>
        <v>1</v>
      </c>
      <c r="V33" s="114">
        <f t="shared" si="3"/>
        <v>0</v>
      </c>
      <c r="W33" s="114">
        <f t="shared" si="4"/>
        <v>0</v>
      </c>
      <c r="X33" s="114">
        <f t="shared" si="5"/>
        <v>0</v>
      </c>
      <c r="Y33" s="114">
        <f t="shared" si="6"/>
        <v>28</v>
      </c>
      <c r="Z33" s="114">
        <f t="shared" si="7"/>
        <v>56</v>
      </c>
      <c r="AA33" s="6"/>
      <c r="AB33" s="6"/>
      <c r="AC33" s="6"/>
      <c r="AD33" s="6"/>
      <c r="AE33" s="6"/>
    </row>
    <row r="34" spans="1:31" s="7" customFormat="1" ht="21" customHeight="1" x14ac:dyDescent="0.25">
      <c r="A34" s="11"/>
      <c r="B34" s="6"/>
      <c r="C34" s="7" t="s">
        <v>15</v>
      </c>
      <c r="D34" s="8">
        <v>3</v>
      </c>
      <c r="E34" s="6" t="s">
        <v>8</v>
      </c>
      <c r="F34" s="6" t="s">
        <v>16</v>
      </c>
      <c r="G34" s="112">
        <v>100</v>
      </c>
      <c r="H34" s="112">
        <v>0</v>
      </c>
      <c r="I34" s="112">
        <v>0</v>
      </c>
      <c r="J34" s="6">
        <f t="shared" ref="J34:J124" si="13">+IF(D34=1,(G34-H34-I34),IF(D34=2,(G34-H34-I34),0))</f>
        <v>0</v>
      </c>
      <c r="K34" s="6"/>
      <c r="L34" s="112">
        <v>3</v>
      </c>
      <c r="M34" s="6">
        <f t="shared" si="8"/>
        <v>36</v>
      </c>
      <c r="N34" s="112">
        <v>48</v>
      </c>
      <c r="O34" s="112">
        <v>16</v>
      </c>
      <c r="P34" s="6">
        <f t="shared" si="11"/>
        <v>88</v>
      </c>
      <c r="Q34" s="113">
        <f t="shared" si="12"/>
        <v>0</v>
      </c>
      <c r="R34" s="113">
        <f t="shared" si="12"/>
        <v>0</v>
      </c>
      <c r="S34" s="113">
        <f t="shared" si="12"/>
        <v>0</v>
      </c>
      <c r="T34" s="113">
        <f t="shared" si="12"/>
        <v>0</v>
      </c>
      <c r="U34" s="113">
        <f t="shared" si="12"/>
        <v>0</v>
      </c>
      <c r="V34" s="114">
        <f t="shared" si="3"/>
        <v>0</v>
      </c>
      <c r="W34" s="114">
        <f t="shared" si="4"/>
        <v>0</v>
      </c>
      <c r="X34" s="114">
        <f t="shared" si="5"/>
        <v>0</v>
      </c>
      <c r="Y34" s="114">
        <f t="shared" si="6"/>
        <v>0</v>
      </c>
      <c r="Z34" s="114">
        <f t="shared" si="7"/>
        <v>0</v>
      </c>
      <c r="AA34" s="6"/>
      <c r="AB34" s="6"/>
      <c r="AC34" s="6"/>
      <c r="AD34" s="6"/>
      <c r="AE34" s="6"/>
    </row>
    <row r="35" spans="1:31" s="7" customFormat="1" ht="21" customHeight="1" x14ac:dyDescent="0.25">
      <c r="A35" s="11"/>
      <c r="B35" s="6"/>
      <c r="C35" s="365" t="s">
        <v>17</v>
      </c>
      <c r="D35" s="8">
        <v>5</v>
      </c>
      <c r="E35" s="6" t="s">
        <v>8</v>
      </c>
      <c r="F35" s="6" t="s">
        <v>18</v>
      </c>
      <c r="G35" s="112">
        <v>50</v>
      </c>
      <c r="H35" s="112">
        <v>0</v>
      </c>
      <c r="I35" s="112">
        <v>0</v>
      </c>
      <c r="J35" s="6">
        <f t="shared" si="13"/>
        <v>0</v>
      </c>
      <c r="K35" s="6"/>
      <c r="L35" s="112">
        <v>1</v>
      </c>
      <c r="M35" s="6">
        <f t="shared" si="8"/>
        <v>12</v>
      </c>
      <c r="N35" s="112">
        <v>48</v>
      </c>
      <c r="O35" s="112">
        <v>14</v>
      </c>
      <c r="P35" s="6">
        <f>+N35+O35+18</f>
        <v>80</v>
      </c>
      <c r="Q35" s="113">
        <f t="shared" si="12"/>
        <v>0</v>
      </c>
      <c r="R35" s="113">
        <f t="shared" si="12"/>
        <v>0</v>
      </c>
      <c r="S35" s="113">
        <f t="shared" si="12"/>
        <v>0</v>
      </c>
      <c r="T35" s="113">
        <f t="shared" si="12"/>
        <v>0</v>
      </c>
      <c r="U35" s="113">
        <f t="shared" si="12"/>
        <v>0</v>
      </c>
      <c r="V35" s="114">
        <f t="shared" si="3"/>
        <v>0</v>
      </c>
      <c r="W35" s="114">
        <f t="shared" si="4"/>
        <v>0</v>
      </c>
      <c r="X35" s="114">
        <f t="shared" si="5"/>
        <v>0</v>
      </c>
      <c r="Y35" s="114">
        <f t="shared" si="6"/>
        <v>0</v>
      </c>
      <c r="Z35" s="114">
        <f t="shared" si="7"/>
        <v>0</v>
      </c>
      <c r="AA35" s="6"/>
      <c r="AB35" s="6"/>
      <c r="AC35" s="6"/>
      <c r="AD35" s="6"/>
      <c r="AE35" s="6"/>
    </row>
    <row r="36" spans="1:31" s="181" customFormat="1" ht="21" customHeight="1" x14ac:dyDescent="0.25">
      <c r="A36" s="173"/>
      <c r="B36" s="129"/>
      <c r="C36" s="174" t="s">
        <v>19</v>
      </c>
      <c r="D36" s="175">
        <v>1</v>
      </c>
      <c r="E36" s="129" t="s">
        <v>8</v>
      </c>
      <c r="F36" s="129" t="s">
        <v>18</v>
      </c>
      <c r="G36" s="176"/>
      <c r="H36" s="176"/>
      <c r="I36" s="176"/>
      <c r="J36" s="177"/>
      <c r="K36" s="129"/>
      <c r="L36" s="178"/>
      <c r="M36" s="129"/>
      <c r="N36" s="178"/>
      <c r="O36" s="178"/>
      <c r="P36" s="129"/>
      <c r="Q36" s="179"/>
      <c r="R36" s="179"/>
      <c r="S36" s="179"/>
      <c r="T36" s="179"/>
      <c r="U36" s="179"/>
      <c r="V36" s="180"/>
      <c r="W36" s="180"/>
      <c r="X36" s="180"/>
      <c r="Y36" s="180"/>
      <c r="Z36" s="180"/>
      <c r="AA36" s="129"/>
    </row>
    <row r="37" spans="1:31" s="181" customFormat="1" ht="21" customHeight="1" x14ac:dyDescent="0.25">
      <c r="A37" s="173"/>
      <c r="B37" s="129"/>
      <c r="C37" s="174" t="s">
        <v>20</v>
      </c>
      <c r="D37" s="175">
        <v>2</v>
      </c>
      <c r="E37" s="129" t="s">
        <v>8</v>
      </c>
      <c r="F37" s="129" t="s">
        <v>18</v>
      </c>
      <c r="G37" s="176"/>
      <c r="H37" s="176"/>
      <c r="I37" s="176"/>
      <c r="J37" s="177"/>
      <c r="K37" s="129"/>
      <c r="L37" s="178"/>
      <c r="M37" s="129"/>
      <c r="N37" s="178"/>
      <c r="O37" s="178"/>
      <c r="P37" s="129"/>
      <c r="Q37" s="179"/>
      <c r="R37" s="179"/>
      <c r="S37" s="179"/>
      <c r="T37" s="179"/>
      <c r="U37" s="179"/>
      <c r="V37" s="180"/>
      <c r="W37" s="180"/>
      <c r="X37" s="180"/>
      <c r="Y37" s="180"/>
      <c r="Z37" s="180"/>
      <c r="AA37" s="129"/>
    </row>
    <row r="38" spans="1:31" s="181" customFormat="1" ht="21" customHeight="1" x14ac:dyDescent="0.25">
      <c r="A38" s="173"/>
      <c r="B38" s="129"/>
      <c r="C38" s="174" t="s">
        <v>21</v>
      </c>
      <c r="D38" s="175">
        <v>3</v>
      </c>
      <c r="E38" s="129" t="s">
        <v>8</v>
      </c>
      <c r="F38" s="129" t="s">
        <v>18</v>
      </c>
      <c r="G38" s="176"/>
      <c r="H38" s="176"/>
      <c r="I38" s="176"/>
      <c r="J38" s="177"/>
      <c r="K38" s="129"/>
      <c r="L38" s="178"/>
      <c r="M38" s="129"/>
      <c r="N38" s="178"/>
      <c r="O38" s="178"/>
      <c r="P38" s="129"/>
      <c r="Q38" s="179"/>
      <c r="R38" s="179"/>
      <c r="S38" s="179"/>
      <c r="T38" s="179"/>
      <c r="U38" s="179"/>
      <c r="V38" s="180"/>
      <c r="W38" s="180"/>
      <c r="X38" s="180"/>
      <c r="Y38" s="180"/>
      <c r="Z38" s="180"/>
      <c r="AA38" s="129"/>
    </row>
    <row r="39" spans="1:31" s="7" customFormat="1" ht="21" customHeight="1" x14ac:dyDescent="0.25">
      <c r="A39" s="11"/>
      <c r="B39" s="6"/>
      <c r="C39" s="365" t="s">
        <v>22</v>
      </c>
      <c r="D39" s="8">
        <v>4</v>
      </c>
      <c r="E39" s="6" t="s">
        <v>8</v>
      </c>
      <c r="F39" s="6" t="s">
        <v>18</v>
      </c>
      <c r="G39" s="112">
        <v>150</v>
      </c>
      <c r="H39" s="112">
        <v>0</v>
      </c>
      <c r="I39" s="112">
        <v>0</v>
      </c>
      <c r="J39" s="6">
        <f t="shared" si="13"/>
        <v>0</v>
      </c>
      <c r="K39" s="6"/>
      <c r="L39" s="112">
        <v>4</v>
      </c>
      <c r="M39" s="6">
        <f t="shared" si="8"/>
        <v>48</v>
      </c>
      <c r="N39" s="112">
        <v>48</v>
      </c>
      <c r="O39" s="112">
        <v>14</v>
      </c>
      <c r="P39" s="6">
        <f t="shared" si="11"/>
        <v>86</v>
      </c>
      <c r="Q39" s="113">
        <f t="shared" ref="Q39:U40" si="14">IFERROR(IF(AND((Q$220-$P39)/$M39&gt;0,(Q$220-$P39)/$M39&lt;1),(Q$220-$P39)/$M39,IF((Q$220-$P39)/$M39&gt;0,1,0)),0)</f>
        <v>0</v>
      </c>
      <c r="R39" s="113">
        <f t="shared" si="14"/>
        <v>0</v>
      </c>
      <c r="S39" s="113">
        <f t="shared" si="14"/>
        <v>0</v>
      </c>
      <c r="T39" s="113">
        <f t="shared" si="14"/>
        <v>0</v>
      </c>
      <c r="U39" s="113">
        <f t="shared" si="14"/>
        <v>0</v>
      </c>
      <c r="V39" s="114">
        <f t="shared" si="3"/>
        <v>0</v>
      </c>
      <c r="W39" s="114">
        <f t="shared" si="4"/>
        <v>0</v>
      </c>
      <c r="X39" s="114">
        <f t="shared" si="5"/>
        <v>0</v>
      </c>
      <c r="Y39" s="114">
        <f t="shared" si="6"/>
        <v>0</v>
      </c>
      <c r="Z39" s="114">
        <f t="shared" si="7"/>
        <v>0</v>
      </c>
      <c r="AA39" s="6"/>
    </row>
    <row r="40" spans="1:31" s="7" customFormat="1" ht="21" customHeight="1" x14ac:dyDescent="0.25">
      <c r="A40" s="11"/>
      <c r="B40" s="6"/>
      <c r="C40" s="7" t="s">
        <v>23</v>
      </c>
      <c r="D40" s="8">
        <v>1</v>
      </c>
      <c r="E40" s="6" t="s">
        <v>24</v>
      </c>
      <c r="F40" s="6" t="s">
        <v>18</v>
      </c>
      <c r="G40" s="112">
        <v>69</v>
      </c>
      <c r="H40" s="112">
        <v>0</v>
      </c>
      <c r="I40" s="112">
        <f t="shared" ref="I40" si="15">+G40-H40</f>
        <v>69</v>
      </c>
      <c r="J40" s="6">
        <f t="shared" si="13"/>
        <v>0</v>
      </c>
      <c r="K40" s="6"/>
      <c r="L40" s="112">
        <v>0.5</v>
      </c>
      <c r="M40" s="6">
        <f t="shared" si="8"/>
        <v>6</v>
      </c>
      <c r="N40" s="112">
        <v>-12</v>
      </c>
      <c r="O40" s="112">
        <v>0</v>
      </c>
      <c r="P40" s="6">
        <f t="shared" si="11"/>
        <v>12</v>
      </c>
      <c r="Q40" s="113">
        <f t="shared" si="14"/>
        <v>0</v>
      </c>
      <c r="R40" s="113">
        <f t="shared" si="14"/>
        <v>1</v>
      </c>
      <c r="S40" s="113">
        <f t="shared" si="14"/>
        <v>1</v>
      </c>
      <c r="T40" s="113">
        <f t="shared" si="14"/>
        <v>1</v>
      </c>
      <c r="U40" s="113">
        <f t="shared" si="14"/>
        <v>1</v>
      </c>
      <c r="V40" s="114">
        <f t="shared" si="3"/>
        <v>0</v>
      </c>
      <c r="W40" s="114">
        <f t="shared" si="4"/>
        <v>69</v>
      </c>
      <c r="X40" s="114">
        <f t="shared" si="5"/>
        <v>0</v>
      </c>
      <c r="Y40" s="114">
        <f t="shared" si="6"/>
        <v>0</v>
      </c>
      <c r="Z40" s="114">
        <f t="shared" si="7"/>
        <v>0</v>
      </c>
      <c r="AA40" s="6"/>
    </row>
    <row r="41" spans="1:31" s="132" customFormat="1" ht="21" customHeight="1" x14ac:dyDescent="0.25">
      <c r="A41" s="126"/>
      <c r="B41" s="6"/>
      <c r="C41" s="132" t="s">
        <v>25</v>
      </c>
      <c r="D41" s="133">
        <v>1</v>
      </c>
      <c r="E41" s="133" t="s">
        <v>24</v>
      </c>
      <c r="F41" s="133" t="s">
        <v>18</v>
      </c>
      <c r="G41" s="133">
        <v>244</v>
      </c>
      <c r="H41" s="133">
        <v>244</v>
      </c>
      <c r="I41" s="133">
        <v>0</v>
      </c>
      <c r="J41" s="133">
        <f t="shared" si="13"/>
        <v>0</v>
      </c>
      <c r="K41" s="133"/>
      <c r="L41" s="133"/>
      <c r="M41" s="133"/>
      <c r="N41" s="133"/>
      <c r="O41" s="133"/>
      <c r="P41" s="133"/>
      <c r="Q41" s="136"/>
      <c r="R41" s="136"/>
      <c r="S41" s="136"/>
      <c r="T41" s="136"/>
      <c r="U41" s="136"/>
      <c r="V41" s="137"/>
      <c r="W41" s="137"/>
      <c r="X41" s="137"/>
      <c r="Y41" s="137"/>
      <c r="Z41" s="137"/>
      <c r="AA41" s="133"/>
    </row>
    <row r="42" spans="1:31" s="7" customFormat="1" ht="21" customHeight="1" x14ac:dyDescent="0.25">
      <c r="A42" s="11"/>
      <c r="B42" s="6"/>
      <c r="C42" s="365" t="s">
        <v>26</v>
      </c>
      <c r="D42" s="8">
        <v>4</v>
      </c>
      <c r="E42" s="6" t="s">
        <v>24</v>
      </c>
      <c r="F42" s="6" t="s">
        <v>18</v>
      </c>
      <c r="G42" s="112">
        <v>256</v>
      </c>
      <c r="H42" s="112">
        <v>0</v>
      </c>
      <c r="I42" s="112">
        <v>0</v>
      </c>
      <c r="J42" s="6">
        <f t="shared" si="13"/>
        <v>0</v>
      </c>
      <c r="K42" s="6"/>
      <c r="L42" s="112">
        <v>4</v>
      </c>
      <c r="M42" s="6">
        <f t="shared" si="8"/>
        <v>48</v>
      </c>
      <c r="N42" s="112">
        <v>48</v>
      </c>
      <c r="O42" s="112">
        <v>14</v>
      </c>
      <c r="P42" s="6">
        <f t="shared" si="11"/>
        <v>86</v>
      </c>
      <c r="Q42" s="113">
        <f t="shared" ref="Q42:U50" si="16">IFERROR(IF(AND((Q$220-$P42)/$M42&gt;0,(Q$220-$P42)/$M42&lt;1),(Q$220-$P42)/$M42,IF((Q$220-$P42)/$M42&gt;0,1,0)),0)</f>
        <v>0</v>
      </c>
      <c r="R42" s="113">
        <f t="shared" si="16"/>
        <v>0</v>
      </c>
      <c r="S42" s="113">
        <f t="shared" si="16"/>
        <v>0</v>
      </c>
      <c r="T42" s="113">
        <f t="shared" si="16"/>
        <v>0</v>
      </c>
      <c r="U42" s="113">
        <f t="shared" si="16"/>
        <v>0</v>
      </c>
      <c r="V42" s="114">
        <f t="shared" si="3"/>
        <v>0</v>
      </c>
      <c r="W42" s="114">
        <f t="shared" si="4"/>
        <v>0</v>
      </c>
      <c r="X42" s="114">
        <f t="shared" si="5"/>
        <v>0</v>
      </c>
      <c r="Y42" s="114">
        <f t="shared" si="6"/>
        <v>0</v>
      </c>
      <c r="Z42" s="114">
        <f t="shared" si="7"/>
        <v>0</v>
      </c>
      <c r="AA42" s="6"/>
    </row>
    <row r="43" spans="1:31" s="7" customFormat="1" ht="21" customHeight="1" x14ac:dyDescent="0.25">
      <c r="A43" s="11"/>
      <c r="B43" s="6"/>
      <c r="C43" s="365" t="s">
        <v>27</v>
      </c>
      <c r="D43" s="8">
        <v>5</v>
      </c>
      <c r="E43" s="6" t="s">
        <v>24</v>
      </c>
      <c r="F43" s="6" t="s">
        <v>24</v>
      </c>
      <c r="G43" s="112">
        <v>7500</v>
      </c>
      <c r="H43" s="112">
        <v>0</v>
      </c>
      <c r="I43" s="112">
        <v>0</v>
      </c>
      <c r="J43" s="6">
        <f t="shared" si="13"/>
        <v>0</v>
      </c>
      <c r="K43" s="6"/>
      <c r="L43" s="112">
        <v>20</v>
      </c>
      <c r="M43" s="6">
        <f t="shared" si="8"/>
        <v>240</v>
      </c>
      <c r="N43" s="112">
        <v>180</v>
      </c>
      <c r="O43" s="112">
        <v>14</v>
      </c>
      <c r="P43" s="6">
        <f t="shared" ref="P43:P103" si="17">+N43+O43+18</f>
        <v>212</v>
      </c>
      <c r="Q43" s="113">
        <f t="shared" si="16"/>
        <v>0</v>
      </c>
      <c r="R43" s="113">
        <f t="shared" si="16"/>
        <v>0</v>
      </c>
      <c r="S43" s="113">
        <f t="shared" si="16"/>
        <v>0</v>
      </c>
      <c r="T43" s="113">
        <f t="shared" si="16"/>
        <v>0</v>
      </c>
      <c r="U43" s="113">
        <f t="shared" si="16"/>
        <v>0</v>
      </c>
      <c r="V43" s="114">
        <f t="shared" si="3"/>
        <v>0</v>
      </c>
      <c r="W43" s="114">
        <f t="shared" si="4"/>
        <v>0</v>
      </c>
      <c r="X43" s="114">
        <f t="shared" si="5"/>
        <v>0</v>
      </c>
      <c r="Y43" s="114">
        <f t="shared" si="6"/>
        <v>0</v>
      </c>
      <c r="Z43" s="114">
        <f t="shared" si="7"/>
        <v>0</v>
      </c>
      <c r="AA43" s="6"/>
    </row>
    <row r="44" spans="1:31" s="7" customFormat="1" ht="21" customHeight="1" x14ac:dyDescent="0.25">
      <c r="A44" s="11"/>
      <c r="B44" s="6"/>
      <c r="C44" s="365" t="s">
        <v>28</v>
      </c>
      <c r="D44" s="8">
        <v>5</v>
      </c>
      <c r="E44" s="6" t="s">
        <v>24</v>
      </c>
      <c r="F44" s="6" t="s">
        <v>24</v>
      </c>
      <c r="G44" s="112">
        <v>300</v>
      </c>
      <c r="H44" s="112">
        <v>0</v>
      </c>
      <c r="I44" s="112">
        <v>0</v>
      </c>
      <c r="J44" s="6">
        <f t="shared" si="13"/>
        <v>0</v>
      </c>
      <c r="K44" s="6"/>
      <c r="L44" s="112">
        <v>4</v>
      </c>
      <c r="M44" s="6">
        <f t="shared" si="8"/>
        <v>48</v>
      </c>
      <c r="N44" s="112">
        <v>48</v>
      </c>
      <c r="O44" s="112">
        <v>14</v>
      </c>
      <c r="P44" s="6">
        <f t="shared" si="17"/>
        <v>80</v>
      </c>
      <c r="Q44" s="113">
        <f t="shared" si="16"/>
        <v>0</v>
      </c>
      <c r="R44" s="113">
        <f t="shared" si="16"/>
        <v>0</v>
      </c>
      <c r="S44" s="113">
        <f t="shared" si="16"/>
        <v>0</v>
      </c>
      <c r="T44" s="113">
        <f t="shared" si="16"/>
        <v>0</v>
      </c>
      <c r="U44" s="113">
        <f t="shared" si="16"/>
        <v>0</v>
      </c>
      <c r="V44" s="114">
        <f t="shared" si="3"/>
        <v>0</v>
      </c>
      <c r="W44" s="114">
        <f t="shared" si="4"/>
        <v>0</v>
      </c>
      <c r="X44" s="114">
        <f t="shared" si="5"/>
        <v>0</v>
      </c>
      <c r="Y44" s="114">
        <f t="shared" si="6"/>
        <v>0</v>
      </c>
      <c r="Z44" s="114">
        <f t="shared" si="7"/>
        <v>0</v>
      </c>
      <c r="AA44" s="6"/>
    </row>
    <row r="45" spans="1:31" s="7" customFormat="1" ht="21" customHeight="1" x14ac:dyDescent="0.25">
      <c r="A45" s="11"/>
      <c r="B45" s="6"/>
      <c r="C45" s="7" t="s">
        <v>29</v>
      </c>
      <c r="D45" s="8">
        <v>3</v>
      </c>
      <c r="E45" s="6" t="s">
        <v>24</v>
      </c>
      <c r="F45" s="6" t="s">
        <v>24</v>
      </c>
      <c r="G45" s="112">
        <v>690</v>
      </c>
      <c r="H45" s="112">
        <v>0</v>
      </c>
      <c r="I45" s="112">
        <v>0</v>
      </c>
      <c r="J45" s="6">
        <f t="shared" si="13"/>
        <v>0</v>
      </c>
      <c r="K45" s="6"/>
      <c r="L45" s="110" t="s">
        <v>306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2">
        <v>0</v>
      </c>
      <c r="W45" s="112">
        <v>0</v>
      </c>
      <c r="X45" s="112">
        <v>0</v>
      </c>
      <c r="Y45" s="112">
        <v>30</v>
      </c>
      <c r="Z45" s="112">
        <v>50</v>
      </c>
      <c r="AA45" s="6"/>
    </row>
    <row r="46" spans="1:31" s="7" customFormat="1" ht="21" customHeight="1" x14ac:dyDescent="0.25">
      <c r="A46" s="11"/>
      <c r="B46" s="6"/>
      <c r="C46" s="365" t="s">
        <v>30</v>
      </c>
      <c r="D46" s="8">
        <v>4</v>
      </c>
      <c r="E46" s="6" t="s">
        <v>24</v>
      </c>
      <c r="F46" s="6" t="s">
        <v>24</v>
      </c>
      <c r="G46" s="112">
        <v>550</v>
      </c>
      <c r="H46" s="112">
        <v>0</v>
      </c>
      <c r="I46" s="112">
        <v>0</v>
      </c>
      <c r="J46" s="6">
        <f t="shared" si="13"/>
        <v>0</v>
      </c>
      <c r="K46" s="6"/>
      <c r="L46" s="112">
        <v>6</v>
      </c>
      <c r="M46" s="6">
        <f t="shared" si="8"/>
        <v>72</v>
      </c>
      <c r="N46" s="112">
        <v>60</v>
      </c>
      <c r="O46" s="112">
        <v>14</v>
      </c>
      <c r="P46" s="6">
        <f t="shared" si="17"/>
        <v>92</v>
      </c>
      <c r="Q46" s="113">
        <f t="shared" si="16"/>
        <v>0</v>
      </c>
      <c r="R46" s="113">
        <f t="shared" si="16"/>
        <v>0</v>
      </c>
      <c r="S46" s="113">
        <f t="shared" si="16"/>
        <v>0</v>
      </c>
      <c r="T46" s="113">
        <f t="shared" si="16"/>
        <v>0</v>
      </c>
      <c r="U46" s="113">
        <f t="shared" si="16"/>
        <v>0</v>
      </c>
      <c r="V46" s="114">
        <f t="shared" si="3"/>
        <v>0</v>
      </c>
      <c r="W46" s="114">
        <f t="shared" si="4"/>
        <v>0</v>
      </c>
      <c r="X46" s="114">
        <f t="shared" si="5"/>
        <v>0</v>
      </c>
      <c r="Y46" s="114">
        <f t="shared" si="6"/>
        <v>0</v>
      </c>
      <c r="Z46" s="114">
        <f t="shared" si="7"/>
        <v>0</v>
      </c>
      <c r="AA46" s="6"/>
    </row>
    <row r="47" spans="1:31" s="7" customFormat="1" ht="21" customHeight="1" x14ac:dyDescent="0.25">
      <c r="A47" s="11"/>
      <c r="B47" s="6"/>
      <c r="C47" s="7" t="s">
        <v>31</v>
      </c>
      <c r="D47" s="8">
        <v>1</v>
      </c>
      <c r="E47" s="6" t="s">
        <v>24</v>
      </c>
      <c r="F47" s="6" t="s">
        <v>32</v>
      </c>
      <c r="G47" s="112">
        <v>255</v>
      </c>
      <c r="H47" s="112">
        <v>125</v>
      </c>
      <c r="I47" s="112">
        <v>130</v>
      </c>
      <c r="J47" s="6">
        <f t="shared" si="13"/>
        <v>0</v>
      </c>
      <c r="K47" s="6"/>
      <c r="L47" s="128">
        <v>0.87000000000000033</v>
      </c>
      <c r="M47" s="182">
        <f t="shared" si="8"/>
        <v>10.440000000000005</v>
      </c>
      <c r="N47" s="112">
        <v>-12</v>
      </c>
      <c r="O47" s="112">
        <v>0</v>
      </c>
      <c r="P47" s="6">
        <f t="shared" si="17"/>
        <v>6</v>
      </c>
      <c r="Q47" s="113">
        <f t="shared" si="16"/>
        <v>0</v>
      </c>
      <c r="R47" s="113">
        <f t="shared" si="16"/>
        <v>1</v>
      </c>
      <c r="S47" s="113">
        <f t="shared" si="16"/>
        <v>1</v>
      </c>
      <c r="T47" s="113">
        <f t="shared" si="16"/>
        <v>1</v>
      </c>
      <c r="U47" s="113">
        <f t="shared" si="16"/>
        <v>1</v>
      </c>
      <c r="V47" s="114">
        <f t="shared" si="3"/>
        <v>0</v>
      </c>
      <c r="W47" s="114">
        <f t="shared" si="4"/>
        <v>130</v>
      </c>
      <c r="X47" s="114">
        <f t="shared" si="5"/>
        <v>0</v>
      </c>
      <c r="Y47" s="114">
        <f t="shared" si="6"/>
        <v>0</v>
      </c>
      <c r="Z47" s="114">
        <f t="shared" si="7"/>
        <v>0</v>
      </c>
      <c r="AA47" s="6"/>
    </row>
    <row r="48" spans="1:31" s="7" customFormat="1" ht="21" customHeight="1" x14ac:dyDescent="0.25">
      <c r="A48" s="11"/>
      <c r="B48" s="6"/>
      <c r="C48" s="7" t="s">
        <v>33</v>
      </c>
      <c r="D48" s="8">
        <v>2</v>
      </c>
      <c r="E48" s="6" t="s">
        <v>24</v>
      </c>
      <c r="F48" s="6" t="s">
        <v>32</v>
      </c>
      <c r="G48" s="112">
        <v>166</v>
      </c>
      <c r="H48" s="112">
        <v>0</v>
      </c>
      <c r="I48" s="112">
        <v>0</v>
      </c>
      <c r="J48" s="6">
        <f t="shared" si="13"/>
        <v>166</v>
      </c>
      <c r="K48" s="6"/>
      <c r="L48" s="112">
        <v>3</v>
      </c>
      <c r="M48" s="6">
        <f t="shared" si="8"/>
        <v>36</v>
      </c>
      <c r="N48" s="112">
        <v>24</v>
      </c>
      <c r="O48" s="112">
        <v>16</v>
      </c>
      <c r="P48" s="6">
        <f t="shared" si="17"/>
        <v>58</v>
      </c>
      <c r="Q48" s="113">
        <f t="shared" si="16"/>
        <v>0</v>
      </c>
      <c r="R48" s="113">
        <f t="shared" si="16"/>
        <v>0</v>
      </c>
      <c r="S48" s="113">
        <f t="shared" si="16"/>
        <v>0</v>
      </c>
      <c r="T48" s="113">
        <f t="shared" si="16"/>
        <v>0</v>
      </c>
      <c r="U48" s="113">
        <f t="shared" si="16"/>
        <v>0</v>
      </c>
      <c r="V48" s="114">
        <f t="shared" si="3"/>
        <v>0</v>
      </c>
      <c r="W48" s="114">
        <f t="shared" si="4"/>
        <v>0</v>
      </c>
      <c r="X48" s="114">
        <f t="shared" si="5"/>
        <v>0</v>
      </c>
      <c r="Y48" s="114">
        <f t="shared" si="6"/>
        <v>0</v>
      </c>
      <c r="Z48" s="114">
        <f t="shared" si="7"/>
        <v>0</v>
      </c>
      <c r="AA48" s="6"/>
    </row>
    <row r="49" spans="1:27" s="181" customFormat="1" ht="21" customHeight="1" x14ac:dyDescent="0.25">
      <c r="A49" s="173"/>
      <c r="B49" s="129"/>
      <c r="C49" s="174" t="s">
        <v>34</v>
      </c>
      <c r="D49" s="175">
        <v>4</v>
      </c>
      <c r="E49" s="129" t="s">
        <v>24</v>
      </c>
      <c r="F49" s="129" t="s">
        <v>32</v>
      </c>
      <c r="G49" s="176"/>
      <c r="H49" s="176"/>
      <c r="I49" s="176"/>
      <c r="J49" s="177"/>
      <c r="K49" s="129"/>
      <c r="L49" s="178"/>
      <c r="M49" s="129"/>
      <c r="N49" s="178"/>
      <c r="O49" s="178"/>
      <c r="P49" s="129"/>
      <c r="Q49" s="179"/>
      <c r="R49" s="179"/>
      <c r="S49" s="179"/>
      <c r="T49" s="179"/>
      <c r="U49" s="179"/>
      <c r="V49" s="180"/>
      <c r="W49" s="180"/>
      <c r="X49" s="180"/>
      <c r="Y49" s="180"/>
      <c r="Z49" s="180"/>
      <c r="AA49" s="129"/>
    </row>
    <row r="50" spans="1:27" s="7" customFormat="1" ht="21" customHeight="1" x14ac:dyDescent="0.25">
      <c r="A50" s="11"/>
      <c r="B50" s="6"/>
      <c r="C50" s="365" t="s">
        <v>35</v>
      </c>
      <c r="D50" s="8">
        <v>4</v>
      </c>
      <c r="E50" s="6" t="s">
        <v>24</v>
      </c>
      <c r="F50" s="6" t="s">
        <v>24</v>
      </c>
      <c r="G50" s="112">
        <v>400</v>
      </c>
      <c r="H50" s="112">
        <v>0</v>
      </c>
      <c r="I50" s="112">
        <v>0</v>
      </c>
      <c r="J50" s="6">
        <f t="shared" si="13"/>
        <v>0</v>
      </c>
      <c r="K50" s="6"/>
      <c r="L50" s="112">
        <v>3</v>
      </c>
      <c r="M50" s="6">
        <f t="shared" si="8"/>
        <v>36</v>
      </c>
      <c r="N50" s="112">
        <v>48</v>
      </c>
      <c r="O50" s="112">
        <v>14</v>
      </c>
      <c r="P50" s="6">
        <f t="shared" ref="P50" si="18">+N50+O50+18</f>
        <v>80</v>
      </c>
      <c r="Q50" s="113">
        <f t="shared" si="16"/>
        <v>0</v>
      </c>
      <c r="R50" s="113">
        <f t="shared" si="16"/>
        <v>0</v>
      </c>
      <c r="S50" s="113">
        <f t="shared" si="16"/>
        <v>0</v>
      </c>
      <c r="T50" s="113">
        <f t="shared" si="16"/>
        <v>0</v>
      </c>
      <c r="U50" s="113">
        <f t="shared" si="16"/>
        <v>0</v>
      </c>
      <c r="V50" s="114">
        <f t="shared" si="3"/>
        <v>0</v>
      </c>
      <c r="W50" s="114">
        <f t="shared" si="4"/>
        <v>0</v>
      </c>
      <c r="X50" s="114">
        <f t="shared" si="5"/>
        <v>0</v>
      </c>
      <c r="Y50" s="114">
        <f t="shared" si="6"/>
        <v>0</v>
      </c>
      <c r="Z50" s="114">
        <f t="shared" si="7"/>
        <v>0</v>
      </c>
      <c r="AA50" s="6"/>
    </row>
    <row r="51" spans="1:27" s="7" customFormat="1" ht="21" customHeight="1" x14ac:dyDescent="0.25">
      <c r="A51" s="11"/>
      <c r="B51" s="6"/>
      <c r="C51" s="7" t="s">
        <v>36</v>
      </c>
      <c r="D51" s="8">
        <v>1</v>
      </c>
      <c r="E51" s="6" t="s">
        <v>24</v>
      </c>
      <c r="F51" s="6" t="s">
        <v>32</v>
      </c>
      <c r="G51" s="112">
        <v>156</v>
      </c>
      <c r="H51" s="112">
        <v>0</v>
      </c>
      <c r="I51" s="112">
        <f>+G51-H51</f>
        <v>156</v>
      </c>
      <c r="J51" s="6">
        <f t="shared" si="13"/>
        <v>0</v>
      </c>
      <c r="K51" s="6"/>
      <c r="L51" s="110" t="s">
        <v>306</v>
      </c>
      <c r="M51" s="111"/>
      <c r="N51" s="111"/>
      <c r="O51" s="111"/>
      <c r="P51" s="111"/>
      <c r="Q51" s="111"/>
      <c r="R51" s="111"/>
      <c r="S51" s="111"/>
      <c r="T51" s="111"/>
      <c r="U51" s="111"/>
      <c r="V51" s="112">
        <v>40</v>
      </c>
      <c r="W51" s="112">
        <v>86</v>
      </c>
      <c r="X51" s="112">
        <v>30</v>
      </c>
      <c r="Y51" s="112">
        <v>0</v>
      </c>
      <c r="Z51" s="112">
        <v>0</v>
      </c>
      <c r="AA51" s="6"/>
    </row>
    <row r="52" spans="1:27" s="7" customFormat="1" ht="21" customHeight="1" x14ac:dyDescent="0.25">
      <c r="A52" s="11"/>
      <c r="B52" s="6"/>
      <c r="C52" s="7" t="s">
        <v>37</v>
      </c>
      <c r="D52" s="8">
        <v>1</v>
      </c>
      <c r="E52" s="6" t="s">
        <v>24</v>
      </c>
      <c r="F52" s="6" t="s">
        <v>32</v>
      </c>
      <c r="G52" s="112">
        <v>142</v>
      </c>
      <c r="H52" s="112">
        <v>94</v>
      </c>
      <c r="I52" s="112">
        <f t="shared" ref="I52:I54" si="19">+G52-H52</f>
        <v>48</v>
      </c>
      <c r="J52" s="6">
        <f t="shared" si="13"/>
        <v>0</v>
      </c>
      <c r="K52" s="6"/>
      <c r="L52" s="110" t="s">
        <v>306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2">
        <v>48</v>
      </c>
      <c r="W52" s="112">
        <v>0</v>
      </c>
      <c r="X52" s="112">
        <v>0</v>
      </c>
      <c r="Y52" s="112">
        <v>0</v>
      </c>
      <c r="Z52" s="112">
        <v>0</v>
      </c>
      <c r="AA52" s="6"/>
    </row>
    <row r="53" spans="1:27" s="7" customFormat="1" ht="21" customHeight="1" x14ac:dyDescent="0.25">
      <c r="A53" s="11"/>
      <c r="B53" s="6"/>
      <c r="C53" s="7" t="s">
        <v>38</v>
      </c>
      <c r="D53" s="8">
        <v>1</v>
      </c>
      <c r="E53" s="6" t="s">
        <v>24</v>
      </c>
      <c r="F53" s="6" t="s">
        <v>32</v>
      </c>
      <c r="G53" s="112">
        <v>178</v>
      </c>
      <c r="H53" s="112">
        <v>105</v>
      </c>
      <c r="I53" s="112">
        <f t="shared" si="19"/>
        <v>73</v>
      </c>
      <c r="J53" s="6">
        <f t="shared" si="13"/>
        <v>0</v>
      </c>
      <c r="K53" s="6"/>
      <c r="L53" s="110" t="s">
        <v>306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2">
        <v>73</v>
      </c>
      <c r="W53" s="112">
        <v>0</v>
      </c>
      <c r="X53" s="112">
        <v>0</v>
      </c>
      <c r="Y53" s="112">
        <v>0</v>
      </c>
      <c r="Z53" s="112">
        <v>0</v>
      </c>
      <c r="AA53" s="6"/>
    </row>
    <row r="54" spans="1:27" s="7" customFormat="1" ht="21" customHeight="1" x14ac:dyDescent="0.25">
      <c r="A54" s="11"/>
      <c r="B54" s="6"/>
      <c r="C54" s="7" t="s">
        <v>39</v>
      </c>
      <c r="D54" s="8">
        <v>1</v>
      </c>
      <c r="E54" s="6" t="s">
        <v>24</v>
      </c>
      <c r="F54" s="6" t="s">
        <v>32</v>
      </c>
      <c r="G54" s="112">
        <v>191</v>
      </c>
      <c r="H54" s="112">
        <v>115</v>
      </c>
      <c r="I54" s="112">
        <f t="shared" si="19"/>
        <v>76</v>
      </c>
      <c r="J54" s="6">
        <f t="shared" si="13"/>
        <v>0</v>
      </c>
      <c r="K54" s="6"/>
      <c r="L54" s="110" t="s">
        <v>306</v>
      </c>
      <c r="M54" s="111"/>
      <c r="N54" s="111"/>
      <c r="O54" s="111"/>
      <c r="P54" s="111"/>
      <c r="Q54" s="111"/>
      <c r="R54" s="111"/>
      <c r="S54" s="111"/>
      <c r="T54" s="111"/>
      <c r="U54" s="111"/>
      <c r="V54" s="112">
        <v>40</v>
      </c>
      <c r="W54" s="112">
        <v>36</v>
      </c>
      <c r="X54" s="112">
        <v>0</v>
      </c>
      <c r="Y54" s="112">
        <v>0</v>
      </c>
      <c r="Z54" s="112">
        <v>0</v>
      </c>
      <c r="AA54" s="6"/>
    </row>
    <row r="55" spans="1:27" s="7" customFormat="1" ht="21" customHeight="1" x14ac:dyDescent="0.25">
      <c r="A55" s="11"/>
      <c r="B55" s="6"/>
      <c r="C55" s="7" t="s">
        <v>524</v>
      </c>
      <c r="D55" s="8">
        <v>2</v>
      </c>
      <c r="E55" s="6" t="s">
        <v>24</v>
      </c>
      <c r="F55" s="6" t="s">
        <v>32</v>
      </c>
      <c r="G55" s="112">
        <v>67</v>
      </c>
      <c r="H55" s="112">
        <v>0</v>
      </c>
      <c r="I55" s="112">
        <v>0</v>
      </c>
      <c r="J55" s="6">
        <f t="shared" si="13"/>
        <v>67</v>
      </c>
      <c r="K55" s="6"/>
      <c r="L55" s="112">
        <v>1</v>
      </c>
      <c r="M55" s="6">
        <f t="shared" ref="M55" si="20">+L55*12</f>
        <v>12</v>
      </c>
      <c r="N55" s="112">
        <v>48</v>
      </c>
      <c r="O55" s="112">
        <v>16</v>
      </c>
      <c r="P55" s="6">
        <f>+N55+O55+24</f>
        <v>88</v>
      </c>
      <c r="Q55" s="113">
        <f>IFERROR(IF(AND((Q$220-$P55)/$M55&gt;0,(Q$220-$P55)/$M55&lt;1),(Q$220-$P55)/$M55,IF((Q$220-$P55)/$M55&gt;0,1,0)),0)</f>
        <v>0</v>
      </c>
      <c r="R55" s="113">
        <f>IFERROR(IF(AND((R$220-$P55)/$M55&gt;0,(R$220-$P55)/$M55&lt;1),(R$220-$P55)/$M55,IF((R$220-$P55)/$M55&gt;0,1,0)),0)</f>
        <v>0</v>
      </c>
      <c r="S55" s="113">
        <f>IFERROR(IF(AND((S$220-$P55)/$M55&gt;0,(S$220-$P55)/$M55&lt;1),(S$220-$P55)/$M55,IF((S$220-$P55)/$M55&gt;0,1,0)),0)</f>
        <v>0</v>
      </c>
      <c r="T55" s="113">
        <f>IFERROR(IF(AND((T$220-$P55)/$M55&gt;0,(T$220-$P55)/$M55&lt;1),(T$220-$P55)/$M55,IF((T$220-$P55)/$M55&gt;0,1,0)),0)</f>
        <v>0</v>
      </c>
      <c r="U55" s="113">
        <f>IFERROR(IF(AND((U$220-$P55)/$M55&gt;0,(U$220-$P55)/$M55&lt;1),(U$220-$P55)/$M55,IF((U$220-$P55)/$M55&gt;0,1,0)),0)</f>
        <v>0</v>
      </c>
      <c r="V55" s="114">
        <f t="shared" ref="V55" si="21">Q55*($G55-$H55)</f>
        <v>0</v>
      </c>
      <c r="W55" s="114">
        <f t="shared" ref="W55" si="22">R55*($G55-$H55)-V55</f>
        <v>0</v>
      </c>
      <c r="X55" s="114">
        <f t="shared" ref="X55" si="23">S55*($G55-$H55)-SUM(V55:W55)</f>
        <v>0</v>
      </c>
      <c r="Y55" s="114">
        <f t="shared" ref="Y55" si="24">T55*($G55-$H55)-SUM(V55:X55)</f>
        <v>0</v>
      </c>
      <c r="Z55" s="114">
        <f t="shared" ref="Z55" si="25">U55*($G55-$H55)-SUM(V55:Y55)</f>
        <v>0</v>
      </c>
      <c r="AA55" s="6"/>
    </row>
    <row r="56" spans="1:27" s="132" customFormat="1" ht="21" customHeight="1" x14ac:dyDescent="0.25">
      <c r="A56" s="126"/>
      <c r="B56" s="6"/>
      <c r="C56" s="132" t="s">
        <v>40</v>
      </c>
      <c r="D56" s="133">
        <v>1</v>
      </c>
      <c r="E56" s="133" t="s">
        <v>41</v>
      </c>
      <c r="F56" s="133" t="s">
        <v>9</v>
      </c>
      <c r="G56" s="133">
        <v>71</v>
      </c>
      <c r="H56" s="133">
        <v>71</v>
      </c>
      <c r="I56" s="133">
        <f t="shared" ref="I56:I69" si="26">+G56-H56</f>
        <v>0</v>
      </c>
      <c r="J56" s="133">
        <f t="shared" si="13"/>
        <v>0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7"/>
      <c r="W56" s="137"/>
      <c r="X56" s="137"/>
      <c r="Y56" s="137"/>
      <c r="Z56" s="137"/>
      <c r="AA56" s="133"/>
    </row>
    <row r="57" spans="1:27" s="132" customFormat="1" ht="21" customHeight="1" x14ac:dyDescent="0.25">
      <c r="A57" s="126"/>
      <c r="B57" s="6"/>
      <c r="C57" s="132" t="s">
        <v>42</v>
      </c>
      <c r="D57" s="133">
        <v>1</v>
      </c>
      <c r="E57" s="133" t="s">
        <v>41</v>
      </c>
      <c r="F57" s="133" t="s">
        <v>9</v>
      </c>
      <c r="G57" s="133">
        <v>70</v>
      </c>
      <c r="H57" s="133">
        <v>70</v>
      </c>
      <c r="I57" s="133">
        <v>0</v>
      </c>
      <c r="J57" s="133">
        <f t="shared" si="13"/>
        <v>0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7"/>
      <c r="W57" s="137"/>
      <c r="X57" s="137"/>
      <c r="Y57" s="137"/>
      <c r="Z57" s="137"/>
      <c r="AA57" s="133"/>
    </row>
    <row r="58" spans="1:27" s="181" customFormat="1" ht="21" customHeight="1" x14ac:dyDescent="0.25">
      <c r="A58" s="173"/>
      <c r="B58" s="129"/>
      <c r="C58" s="174" t="s">
        <v>43</v>
      </c>
      <c r="D58" s="175">
        <v>1</v>
      </c>
      <c r="E58" s="129" t="s">
        <v>41</v>
      </c>
      <c r="F58" s="129" t="s">
        <v>9</v>
      </c>
      <c r="G58" s="176"/>
      <c r="H58" s="176"/>
      <c r="I58" s="176"/>
      <c r="J58" s="177"/>
      <c r="K58" s="129"/>
      <c r="L58" s="178"/>
      <c r="M58" s="129"/>
      <c r="N58" s="178"/>
      <c r="O58" s="178"/>
      <c r="P58" s="129"/>
      <c r="Q58" s="179"/>
      <c r="R58" s="179"/>
      <c r="S58" s="179"/>
      <c r="T58" s="179"/>
      <c r="U58" s="179"/>
      <c r="V58" s="180"/>
      <c r="W58" s="180"/>
      <c r="X58" s="180"/>
      <c r="Y58" s="180"/>
      <c r="Z58" s="180"/>
      <c r="AA58" s="129"/>
    </row>
    <row r="59" spans="1:27" s="181" customFormat="1" ht="21" customHeight="1" x14ac:dyDescent="0.25">
      <c r="A59" s="173"/>
      <c r="B59" s="129"/>
      <c r="C59" s="174" t="s">
        <v>44</v>
      </c>
      <c r="D59" s="175">
        <v>3</v>
      </c>
      <c r="E59" s="129" t="s">
        <v>41</v>
      </c>
      <c r="F59" s="129" t="s">
        <v>9</v>
      </c>
      <c r="G59" s="176"/>
      <c r="H59" s="176"/>
      <c r="I59" s="176"/>
      <c r="J59" s="177"/>
      <c r="K59" s="129"/>
      <c r="L59" s="178"/>
      <c r="M59" s="129"/>
      <c r="N59" s="178"/>
      <c r="O59" s="178"/>
      <c r="P59" s="129"/>
      <c r="Q59" s="179"/>
      <c r="R59" s="179"/>
      <c r="S59" s="179"/>
      <c r="T59" s="179"/>
      <c r="U59" s="179"/>
      <c r="V59" s="180"/>
      <c r="W59" s="180"/>
      <c r="X59" s="180"/>
      <c r="Y59" s="180"/>
      <c r="Z59" s="180"/>
      <c r="AA59" s="129"/>
    </row>
    <row r="60" spans="1:27" s="181" customFormat="1" ht="21" customHeight="1" x14ac:dyDescent="0.25">
      <c r="A60" s="173"/>
      <c r="B60" s="129"/>
      <c r="C60" s="174" t="s">
        <v>45</v>
      </c>
      <c r="D60" s="175">
        <v>3</v>
      </c>
      <c r="E60" s="129" t="s">
        <v>41</v>
      </c>
      <c r="F60" s="129" t="s">
        <v>9</v>
      </c>
      <c r="G60" s="176"/>
      <c r="H60" s="176"/>
      <c r="I60" s="176"/>
      <c r="J60" s="177"/>
      <c r="K60" s="129"/>
      <c r="L60" s="178"/>
      <c r="M60" s="129"/>
      <c r="N60" s="178"/>
      <c r="O60" s="178"/>
      <c r="P60" s="129"/>
      <c r="Q60" s="179"/>
      <c r="R60" s="179"/>
      <c r="S60" s="179"/>
      <c r="T60" s="179"/>
      <c r="U60" s="179"/>
      <c r="V60" s="180"/>
      <c r="W60" s="180"/>
      <c r="X60" s="180"/>
      <c r="Y60" s="180"/>
      <c r="Z60" s="180"/>
      <c r="AA60" s="129"/>
    </row>
    <row r="61" spans="1:27" s="7" customFormat="1" ht="21" customHeight="1" x14ac:dyDescent="0.25">
      <c r="A61" s="126"/>
      <c r="B61" s="6"/>
      <c r="C61" s="365" t="s">
        <v>46</v>
      </c>
      <c r="D61" s="8">
        <v>4</v>
      </c>
      <c r="E61" s="6" t="s">
        <v>41</v>
      </c>
      <c r="F61" s="6" t="s">
        <v>9</v>
      </c>
      <c r="G61" s="112">
        <v>200</v>
      </c>
      <c r="H61" s="112">
        <v>0</v>
      </c>
      <c r="I61" s="112">
        <v>0</v>
      </c>
      <c r="J61" s="6">
        <f t="shared" si="13"/>
        <v>0</v>
      </c>
      <c r="K61" s="6"/>
      <c r="L61" s="112">
        <v>2</v>
      </c>
      <c r="M61" s="6">
        <f t="shared" ref="M61" si="27">+L61*12</f>
        <v>24</v>
      </c>
      <c r="N61" s="112">
        <v>60</v>
      </c>
      <c r="O61" s="112">
        <v>16</v>
      </c>
      <c r="P61" s="6">
        <f>+N61+O61+24</f>
        <v>100</v>
      </c>
      <c r="Q61" s="113">
        <f>IFERROR(IF(AND((Q$220-$P61)/$M61&gt;0,(Q$220-$P61)/$M61&lt;1),(Q$220-$P61)/$M61,IF((Q$220-$P61)/$M61&gt;0,1,0)),0)</f>
        <v>0</v>
      </c>
      <c r="R61" s="113">
        <f>IFERROR(IF(AND((R$220-$P61)/$M61&gt;0,(R$220-$P61)/$M61&lt;1),(R$220-$P61)/$M61,IF((R$220-$P61)/$M61&gt;0,1,0)),0)</f>
        <v>0</v>
      </c>
      <c r="S61" s="113">
        <f>IFERROR(IF(AND((S$220-$P61)/$M61&gt;0,(S$220-$P61)/$M61&lt;1),(S$220-$P61)/$M61,IF((S$220-$P61)/$M61&gt;0,1,0)),0)</f>
        <v>0</v>
      </c>
      <c r="T61" s="113">
        <f>IFERROR(IF(AND((T$220-$P61)/$M61&gt;0,(T$220-$P61)/$M61&lt;1),(T$220-$P61)/$M61,IF((T$220-$P61)/$M61&gt;0,1,0)),0)</f>
        <v>0</v>
      </c>
      <c r="U61" s="113">
        <f>IFERROR(IF(AND((U$220-$P61)/$M61&gt;0,(U$220-$P61)/$M61&lt;1),(U$220-$P61)/$M61,IF((U$220-$P61)/$M61&gt;0,1,0)),0)</f>
        <v>0</v>
      </c>
      <c r="V61" s="114">
        <f t="shared" si="3"/>
        <v>0</v>
      </c>
      <c r="W61" s="114">
        <f t="shared" si="4"/>
        <v>0</v>
      </c>
      <c r="X61" s="114">
        <f t="shared" si="5"/>
        <v>0</v>
      </c>
      <c r="Y61" s="114">
        <f t="shared" si="6"/>
        <v>0</v>
      </c>
      <c r="Z61" s="114">
        <f t="shared" si="7"/>
        <v>0</v>
      </c>
      <c r="AA61" s="6"/>
    </row>
    <row r="62" spans="1:27" s="132" customFormat="1" ht="21" customHeight="1" x14ac:dyDescent="0.25">
      <c r="A62" s="126"/>
      <c r="B62" s="6"/>
      <c r="C62" s="132" t="s">
        <v>47</v>
      </c>
      <c r="D62" s="133">
        <v>1</v>
      </c>
      <c r="E62" s="133" t="s">
        <v>41</v>
      </c>
      <c r="F62" s="133" t="s">
        <v>9</v>
      </c>
      <c r="G62" s="133">
        <v>7</v>
      </c>
      <c r="H62" s="133">
        <v>7</v>
      </c>
      <c r="I62" s="133">
        <v>0</v>
      </c>
      <c r="J62" s="133">
        <f t="shared" si="13"/>
        <v>0</v>
      </c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7"/>
      <c r="W62" s="137"/>
      <c r="X62" s="137"/>
      <c r="Y62" s="137"/>
      <c r="Z62" s="137"/>
      <c r="AA62" s="133"/>
    </row>
    <row r="63" spans="1:27" s="7" customFormat="1" ht="21" customHeight="1" x14ac:dyDescent="0.25">
      <c r="A63" s="126"/>
      <c r="B63" s="6"/>
      <c r="C63" s="365" t="s">
        <v>48</v>
      </c>
      <c r="D63" s="8">
        <v>4</v>
      </c>
      <c r="E63" s="6" t="s">
        <v>41</v>
      </c>
      <c r="F63" s="6" t="s">
        <v>49</v>
      </c>
      <c r="G63" s="183">
        <v>100</v>
      </c>
      <c r="H63" s="112">
        <v>0</v>
      </c>
      <c r="I63" s="112">
        <v>0</v>
      </c>
      <c r="J63" s="6">
        <f t="shared" si="13"/>
        <v>0</v>
      </c>
      <c r="K63" s="6"/>
      <c r="L63" s="112">
        <v>20</v>
      </c>
      <c r="M63" s="6">
        <f t="shared" ref="M63" si="28">+L63*12</f>
        <v>240</v>
      </c>
      <c r="N63" s="112">
        <v>-18</v>
      </c>
      <c r="O63" s="112">
        <v>0</v>
      </c>
      <c r="P63" s="6">
        <f>+N63+O63+24</f>
        <v>6</v>
      </c>
      <c r="Q63" s="113">
        <f>IFERROR(IF(AND((Q$220-$P63)/$M63&gt;0,(Q$220-$P63)/$M63&lt;1),(Q$220-$P63)/$M63,IF((Q$220-$P63)/$M63&gt;0,1,0)),0)</f>
        <v>0</v>
      </c>
      <c r="R63" s="113">
        <f>IFERROR(IF(AND((R$220-$P63)/$M63&gt;0,(R$220-$P63)/$M63&lt;1),(R$220-$P63)/$M63,IF((R$220-$P63)/$M63&gt;0,1,0)),0)</f>
        <v>0.05</v>
      </c>
      <c r="S63" s="113">
        <f>IFERROR(IF(AND((S$220-$P63)/$M63&gt;0,(S$220-$P63)/$M63&lt;1),(S$220-$P63)/$M63,IF((S$220-$P63)/$M63&gt;0,1,0)),0)</f>
        <v>0.1</v>
      </c>
      <c r="T63" s="113">
        <f>IFERROR(IF(AND((T$220-$P63)/$M63&gt;0,(T$220-$P63)/$M63&lt;1),(T$220-$P63)/$M63,IF((T$220-$P63)/$M63&gt;0,1,0)),0)</f>
        <v>0.15</v>
      </c>
      <c r="U63" s="113">
        <f>IFERROR(IF(AND((U$220-$P63)/$M63&gt;0,(U$220-$P63)/$M63&lt;1),(U$220-$P63)/$M63,IF((U$220-$P63)/$M63&gt;0,1,0)),0)</f>
        <v>0.2</v>
      </c>
      <c r="V63" s="114">
        <f t="shared" si="3"/>
        <v>0</v>
      </c>
      <c r="W63" s="114">
        <f t="shared" si="4"/>
        <v>5</v>
      </c>
      <c r="X63" s="114">
        <f t="shared" si="5"/>
        <v>5</v>
      </c>
      <c r="Y63" s="114">
        <f t="shared" si="6"/>
        <v>5</v>
      </c>
      <c r="Z63" s="114">
        <f t="shared" si="7"/>
        <v>5</v>
      </c>
      <c r="AA63" s="6"/>
    </row>
    <row r="64" spans="1:27" s="132" customFormat="1" ht="21" customHeight="1" x14ac:dyDescent="0.25">
      <c r="A64" s="126"/>
      <c r="B64" s="6"/>
      <c r="C64" s="132" t="s">
        <v>50</v>
      </c>
      <c r="D64" s="133">
        <v>1</v>
      </c>
      <c r="E64" s="133" t="s">
        <v>41</v>
      </c>
      <c r="F64" s="133" t="s">
        <v>49</v>
      </c>
      <c r="G64" s="184">
        <v>72</v>
      </c>
      <c r="H64" s="133">
        <v>72</v>
      </c>
      <c r="I64" s="133">
        <v>0</v>
      </c>
      <c r="J64" s="133">
        <f t="shared" si="13"/>
        <v>0</v>
      </c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7"/>
      <c r="W64" s="137"/>
      <c r="X64" s="137"/>
      <c r="Y64" s="137"/>
      <c r="Z64" s="137"/>
      <c r="AA64" s="133"/>
    </row>
    <row r="65" spans="1:27" s="132" customFormat="1" ht="21" customHeight="1" x14ac:dyDescent="0.25">
      <c r="A65" s="126"/>
      <c r="B65" s="6"/>
      <c r="C65" s="132" t="s">
        <v>51</v>
      </c>
      <c r="D65" s="133">
        <v>1</v>
      </c>
      <c r="E65" s="133" t="s">
        <v>41</v>
      </c>
      <c r="F65" s="133" t="s">
        <v>49</v>
      </c>
      <c r="G65" s="184">
        <v>70</v>
      </c>
      <c r="H65" s="133">
        <v>70</v>
      </c>
      <c r="I65" s="133">
        <v>0</v>
      </c>
      <c r="J65" s="133">
        <f t="shared" si="13"/>
        <v>0</v>
      </c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7"/>
      <c r="W65" s="137"/>
      <c r="X65" s="137"/>
      <c r="Y65" s="137"/>
      <c r="Z65" s="137"/>
      <c r="AA65" s="133"/>
    </row>
    <row r="66" spans="1:27" s="132" customFormat="1" ht="21" customHeight="1" x14ac:dyDescent="0.25">
      <c r="A66" s="126"/>
      <c r="B66" s="6"/>
      <c r="C66" s="132" t="s">
        <v>52</v>
      </c>
      <c r="D66" s="133">
        <v>1</v>
      </c>
      <c r="E66" s="133" t="s">
        <v>41</v>
      </c>
      <c r="F66" s="133" t="s">
        <v>49</v>
      </c>
      <c r="G66" s="184">
        <v>67</v>
      </c>
      <c r="H66" s="133">
        <v>0</v>
      </c>
      <c r="I66" s="133">
        <v>0</v>
      </c>
      <c r="J66" s="133">
        <v>0</v>
      </c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7"/>
      <c r="W66" s="137"/>
      <c r="X66" s="137"/>
      <c r="Y66" s="137"/>
      <c r="Z66" s="137"/>
      <c r="AA66" s="133"/>
    </row>
    <row r="67" spans="1:27" s="7" customFormat="1" ht="21" customHeight="1" x14ac:dyDescent="0.25">
      <c r="A67" s="126"/>
      <c r="B67" s="6"/>
      <c r="C67" s="7" t="s">
        <v>53</v>
      </c>
      <c r="D67" s="8">
        <v>1</v>
      </c>
      <c r="E67" s="6" t="s">
        <v>41</v>
      </c>
      <c r="F67" s="6" t="s">
        <v>49</v>
      </c>
      <c r="G67" s="112">
        <v>38</v>
      </c>
      <c r="H67" s="112">
        <v>0</v>
      </c>
      <c r="I67" s="112">
        <f t="shared" si="26"/>
        <v>38</v>
      </c>
      <c r="J67" s="6">
        <f t="shared" si="13"/>
        <v>0</v>
      </c>
      <c r="K67" s="6"/>
      <c r="L67" s="112">
        <v>1.5</v>
      </c>
      <c r="M67" s="6">
        <f t="shared" ref="M67:M125" si="29">+L67*12</f>
        <v>18</v>
      </c>
      <c r="N67" s="112">
        <v>-21</v>
      </c>
      <c r="O67" s="112">
        <v>0</v>
      </c>
      <c r="P67" s="6">
        <f t="shared" ref="P67:P85" si="30">+N67+O67+24</f>
        <v>3</v>
      </c>
      <c r="Q67" s="113">
        <f t="shared" ref="Q67:U73" si="31">IFERROR(IF(AND((Q$220-$P67)/$M67&gt;0,(Q$220-$P67)/$M67&lt;1),(Q$220-$P67)/$M67,IF((Q$220-$P67)/$M67&gt;0,1,0)),0)</f>
        <v>0.16666666666666666</v>
      </c>
      <c r="R67" s="113">
        <f t="shared" si="31"/>
        <v>0.83333333333333337</v>
      </c>
      <c r="S67" s="113">
        <f t="shared" si="31"/>
        <v>1</v>
      </c>
      <c r="T67" s="113">
        <f t="shared" si="31"/>
        <v>1</v>
      </c>
      <c r="U67" s="113">
        <f t="shared" si="31"/>
        <v>1</v>
      </c>
      <c r="V67" s="114">
        <f t="shared" si="3"/>
        <v>6.333333333333333</v>
      </c>
      <c r="W67" s="114">
        <f t="shared" si="4"/>
        <v>25.333333333333336</v>
      </c>
      <c r="X67" s="114">
        <f t="shared" si="5"/>
        <v>6.3333333333333321</v>
      </c>
      <c r="Y67" s="114">
        <f t="shared" si="6"/>
        <v>0</v>
      </c>
      <c r="Z67" s="114">
        <f t="shared" si="7"/>
        <v>0</v>
      </c>
      <c r="AA67" s="6"/>
    </row>
    <row r="68" spans="1:27" s="7" customFormat="1" ht="21" customHeight="1" x14ac:dyDescent="0.25">
      <c r="A68" s="11"/>
      <c r="B68" s="6"/>
      <c r="C68" s="7" t="s">
        <v>54</v>
      </c>
      <c r="D68" s="8">
        <v>1</v>
      </c>
      <c r="E68" s="6" t="s">
        <v>41</v>
      </c>
      <c r="F68" s="6" t="s">
        <v>49</v>
      </c>
      <c r="G68" s="112">
        <v>58</v>
      </c>
      <c r="H68" s="112">
        <v>0</v>
      </c>
      <c r="I68" s="112">
        <f t="shared" si="26"/>
        <v>58</v>
      </c>
      <c r="J68" s="6">
        <f t="shared" si="13"/>
        <v>0</v>
      </c>
      <c r="K68" s="6"/>
      <c r="L68" s="112">
        <v>1</v>
      </c>
      <c r="M68" s="6">
        <f t="shared" si="29"/>
        <v>12</v>
      </c>
      <c r="N68" s="112">
        <v>-6</v>
      </c>
      <c r="O68" s="112">
        <v>0</v>
      </c>
      <c r="P68" s="6">
        <f t="shared" si="30"/>
        <v>18</v>
      </c>
      <c r="Q68" s="113">
        <f t="shared" si="31"/>
        <v>0</v>
      </c>
      <c r="R68" s="113">
        <f t="shared" si="31"/>
        <v>0</v>
      </c>
      <c r="S68" s="113">
        <f t="shared" si="31"/>
        <v>1</v>
      </c>
      <c r="T68" s="113">
        <f t="shared" si="31"/>
        <v>1</v>
      </c>
      <c r="U68" s="113">
        <f t="shared" si="31"/>
        <v>1</v>
      </c>
      <c r="V68" s="114">
        <f t="shared" si="3"/>
        <v>0</v>
      </c>
      <c r="W68" s="114">
        <f t="shared" si="4"/>
        <v>0</v>
      </c>
      <c r="X68" s="114">
        <f t="shared" si="5"/>
        <v>58</v>
      </c>
      <c r="Y68" s="114">
        <f t="shared" si="6"/>
        <v>0</v>
      </c>
      <c r="Z68" s="114">
        <f t="shared" si="7"/>
        <v>0</v>
      </c>
      <c r="AA68" s="6"/>
    </row>
    <row r="69" spans="1:27" s="7" customFormat="1" ht="21" customHeight="1" x14ac:dyDescent="0.25">
      <c r="A69" s="11"/>
      <c r="B69" s="6"/>
      <c r="C69" s="7" t="s">
        <v>55</v>
      </c>
      <c r="D69" s="8">
        <v>3</v>
      </c>
      <c r="E69" s="6" t="s">
        <v>41</v>
      </c>
      <c r="F69" s="6" t="s">
        <v>49</v>
      </c>
      <c r="G69" s="112">
        <v>20</v>
      </c>
      <c r="H69" s="112">
        <v>0</v>
      </c>
      <c r="I69" s="112">
        <f t="shared" si="26"/>
        <v>20</v>
      </c>
      <c r="J69" s="6">
        <f t="shared" si="13"/>
        <v>0</v>
      </c>
      <c r="K69" s="6"/>
      <c r="L69" s="112">
        <v>1</v>
      </c>
      <c r="M69" s="6">
        <f t="shared" si="29"/>
        <v>12</v>
      </c>
      <c r="N69" s="112">
        <v>48</v>
      </c>
      <c r="O69" s="112">
        <v>12</v>
      </c>
      <c r="P69" s="6">
        <f t="shared" si="30"/>
        <v>84</v>
      </c>
      <c r="Q69" s="113">
        <f t="shared" si="31"/>
        <v>0</v>
      </c>
      <c r="R69" s="113">
        <f t="shared" si="31"/>
        <v>0</v>
      </c>
      <c r="S69" s="113">
        <f t="shared" si="31"/>
        <v>0</v>
      </c>
      <c r="T69" s="113">
        <f t="shared" si="31"/>
        <v>0</v>
      </c>
      <c r="U69" s="113">
        <f t="shared" si="31"/>
        <v>0</v>
      </c>
      <c r="V69" s="114">
        <f t="shared" si="3"/>
        <v>0</v>
      </c>
      <c r="W69" s="114">
        <f t="shared" si="4"/>
        <v>0</v>
      </c>
      <c r="X69" s="114">
        <f t="shared" si="5"/>
        <v>0</v>
      </c>
      <c r="Y69" s="114">
        <f t="shared" si="6"/>
        <v>0</v>
      </c>
      <c r="Z69" s="114">
        <f t="shared" si="7"/>
        <v>0</v>
      </c>
      <c r="AA69" s="6"/>
    </row>
    <row r="70" spans="1:27" s="7" customFormat="1" ht="21" customHeight="1" x14ac:dyDescent="0.25">
      <c r="A70" s="11"/>
      <c r="B70" s="6"/>
      <c r="C70" s="7" t="s">
        <v>56</v>
      </c>
      <c r="D70" s="8">
        <v>3</v>
      </c>
      <c r="E70" s="6" t="s">
        <v>41</v>
      </c>
      <c r="F70" s="6" t="s">
        <v>49</v>
      </c>
      <c r="G70" s="112">
        <v>12</v>
      </c>
      <c r="H70" s="112">
        <v>0</v>
      </c>
      <c r="I70" s="112">
        <v>0</v>
      </c>
      <c r="J70" s="6">
        <f t="shared" si="13"/>
        <v>0</v>
      </c>
      <c r="K70" s="6"/>
      <c r="L70" s="112">
        <v>0.5</v>
      </c>
      <c r="M70" s="6">
        <f t="shared" si="29"/>
        <v>6</v>
      </c>
      <c r="N70" s="112">
        <v>24</v>
      </c>
      <c r="O70" s="112">
        <v>14</v>
      </c>
      <c r="P70" s="6">
        <f t="shared" si="30"/>
        <v>62</v>
      </c>
      <c r="Q70" s="113">
        <f t="shared" si="31"/>
        <v>0</v>
      </c>
      <c r="R70" s="113">
        <f t="shared" si="31"/>
        <v>0</v>
      </c>
      <c r="S70" s="113">
        <f t="shared" si="31"/>
        <v>0</v>
      </c>
      <c r="T70" s="113">
        <f t="shared" si="31"/>
        <v>0</v>
      </c>
      <c r="U70" s="113">
        <f t="shared" si="31"/>
        <v>0</v>
      </c>
      <c r="V70" s="114">
        <f t="shared" si="3"/>
        <v>0</v>
      </c>
      <c r="W70" s="114">
        <f t="shared" si="4"/>
        <v>0</v>
      </c>
      <c r="X70" s="114">
        <f t="shared" si="5"/>
        <v>0</v>
      </c>
      <c r="Y70" s="114">
        <f t="shared" si="6"/>
        <v>0</v>
      </c>
      <c r="Z70" s="114">
        <f t="shared" si="7"/>
        <v>0</v>
      </c>
      <c r="AA70" s="6"/>
    </row>
    <row r="71" spans="1:27" s="181" customFormat="1" ht="21" customHeight="1" x14ac:dyDescent="0.25">
      <c r="A71" s="173"/>
      <c r="B71" s="129"/>
      <c r="C71" s="174" t="s">
        <v>57</v>
      </c>
      <c r="D71" s="175">
        <v>3</v>
      </c>
      <c r="E71" s="129" t="s">
        <v>41</v>
      </c>
      <c r="F71" s="129" t="s">
        <v>49</v>
      </c>
      <c r="G71" s="176">
        <v>12</v>
      </c>
      <c r="H71" s="176">
        <v>0</v>
      </c>
      <c r="I71" s="176">
        <v>0</v>
      </c>
      <c r="J71" s="177">
        <f t="shared" si="13"/>
        <v>0</v>
      </c>
      <c r="K71" s="129"/>
      <c r="L71" s="178">
        <v>0.5</v>
      </c>
      <c r="M71" s="129">
        <f t="shared" si="29"/>
        <v>6</v>
      </c>
      <c r="N71" s="178">
        <v>24</v>
      </c>
      <c r="O71" s="178">
        <v>14</v>
      </c>
      <c r="P71" s="129">
        <f t="shared" si="30"/>
        <v>62</v>
      </c>
      <c r="Q71" s="179">
        <f t="shared" si="31"/>
        <v>0</v>
      </c>
      <c r="R71" s="179">
        <f t="shared" si="31"/>
        <v>0</v>
      </c>
      <c r="S71" s="179">
        <f t="shared" si="31"/>
        <v>0</v>
      </c>
      <c r="T71" s="179">
        <f t="shared" si="31"/>
        <v>0</v>
      </c>
      <c r="U71" s="179">
        <f t="shared" si="31"/>
        <v>0</v>
      </c>
      <c r="V71" s="180">
        <f t="shared" si="3"/>
        <v>0</v>
      </c>
      <c r="W71" s="180">
        <f t="shared" si="4"/>
        <v>0</v>
      </c>
      <c r="X71" s="180">
        <f t="shared" ref="X71:X72" si="32">S71*($G71-$H71)-SUM(V71:W71)</f>
        <v>0</v>
      </c>
      <c r="Y71" s="180">
        <f t="shared" ref="Y71:Y72" si="33">T71*($G71-$H71)-SUM(V71:X71)</f>
        <v>0</v>
      </c>
      <c r="Z71" s="180">
        <f t="shared" si="7"/>
        <v>0</v>
      </c>
      <c r="AA71" s="129"/>
    </row>
    <row r="72" spans="1:27" s="7" customFormat="1" ht="21" customHeight="1" x14ac:dyDescent="0.25">
      <c r="A72" s="11"/>
      <c r="B72" s="6"/>
      <c r="C72" s="7" t="s">
        <v>58</v>
      </c>
      <c r="D72" s="8">
        <v>2</v>
      </c>
      <c r="E72" s="6" t="s">
        <v>41</v>
      </c>
      <c r="F72" s="6" t="s">
        <v>49</v>
      </c>
      <c r="G72" s="112">
        <v>49</v>
      </c>
      <c r="H72" s="112">
        <v>0</v>
      </c>
      <c r="I72" s="112">
        <v>0</v>
      </c>
      <c r="J72" s="6">
        <f t="shared" si="13"/>
        <v>49</v>
      </c>
      <c r="K72" s="6"/>
      <c r="L72" s="112">
        <v>0.5</v>
      </c>
      <c r="M72" s="6">
        <f t="shared" si="29"/>
        <v>6</v>
      </c>
      <c r="N72" s="112">
        <v>0</v>
      </c>
      <c r="O72" s="112">
        <v>6</v>
      </c>
      <c r="P72" s="6">
        <f t="shared" si="30"/>
        <v>30</v>
      </c>
      <c r="Q72" s="113">
        <f t="shared" si="31"/>
        <v>0</v>
      </c>
      <c r="R72" s="113">
        <f t="shared" si="31"/>
        <v>0</v>
      </c>
      <c r="S72" s="113">
        <f t="shared" si="31"/>
        <v>0</v>
      </c>
      <c r="T72" s="113">
        <f t="shared" si="31"/>
        <v>1</v>
      </c>
      <c r="U72" s="113">
        <f t="shared" si="31"/>
        <v>1</v>
      </c>
      <c r="V72" s="114">
        <f t="shared" si="3"/>
        <v>0</v>
      </c>
      <c r="W72" s="114">
        <f t="shared" si="4"/>
        <v>0</v>
      </c>
      <c r="X72" s="114">
        <f t="shared" si="32"/>
        <v>0</v>
      </c>
      <c r="Y72" s="114">
        <f t="shared" si="33"/>
        <v>49</v>
      </c>
      <c r="Z72" s="114">
        <f t="shared" si="7"/>
        <v>0</v>
      </c>
      <c r="AA72" s="6"/>
    </row>
    <row r="73" spans="1:27" s="7" customFormat="1" ht="21" customHeight="1" x14ac:dyDescent="0.25">
      <c r="A73" s="11"/>
      <c r="B73" s="6"/>
      <c r="C73" s="365" t="s">
        <v>59</v>
      </c>
      <c r="D73" s="8">
        <v>4</v>
      </c>
      <c r="E73" s="6" t="s">
        <v>41</v>
      </c>
      <c r="F73" s="6" t="s">
        <v>49</v>
      </c>
      <c r="G73" s="183">
        <v>100</v>
      </c>
      <c r="H73" s="112">
        <v>0</v>
      </c>
      <c r="I73" s="112">
        <v>0</v>
      </c>
      <c r="J73" s="6">
        <f t="shared" si="13"/>
        <v>0</v>
      </c>
      <c r="K73" s="6"/>
      <c r="L73" s="112">
        <v>1.5</v>
      </c>
      <c r="M73" s="6">
        <f t="shared" si="29"/>
        <v>18</v>
      </c>
      <c r="N73" s="112">
        <v>48</v>
      </c>
      <c r="O73" s="112">
        <v>14</v>
      </c>
      <c r="P73" s="6">
        <f t="shared" si="30"/>
        <v>86</v>
      </c>
      <c r="Q73" s="113">
        <f t="shared" si="31"/>
        <v>0</v>
      </c>
      <c r="R73" s="113">
        <f t="shared" si="31"/>
        <v>0</v>
      </c>
      <c r="S73" s="113">
        <f t="shared" si="31"/>
        <v>0</v>
      </c>
      <c r="T73" s="113">
        <f t="shared" si="31"/>
        <v>0</v>
      </c>
      <c r="U73" s="113">
        <f t="shared" si="31"/>
        <v>0</v>
      </c>
      <c r="V73" s="114">
        <f t="shared" si="3"/>
        <v>0</v>
      </c>
      <c r="W73" s="114">
        <f t="shared" si="4"/>
        <v>0</v>
      </c>
      <c r="X73" s="114">
        <f t="shared" si="5"/>
        <v>0</v>
      </c>
      <c r="Y73" s="114">
        <f t="shared" si="6"/>
        <v>0</v>
      </c>
      <c r="Z73" s="114">
        <f t="shared" si="7"/>
        <v>0</v>
      </c>
      <c r="AA73" s="6"/>
    </row>
    <row r="74" spans="1:27" s="181" customFormat="1" ht="21" customHeight="1" x14ac:dyDescent="0.25">
      <c r="A74" s="173"/>
      <c r="B74" s="129"/>
      <c r="C74" s="174" t="s">
        <v>525</v>
      </c>
      <c r="D74" s="175">
        <v>2</v>
      </c>
      <c r="E74" s="129" t="s">
        <v>41</v>
      </c>
      <c r="F74" s="129" t="s">
        <v>49</v>
      </c>
      <c r="G74" s="176"/>
      <c r="H74" s="176"/>
      <c r="I74" s="176"/>
      <c r="J74" s="177"/>
      <c r="K74" s="129"/>
      <c r="L74" s="178"/>
      <c r="M74" s="129"/>
      <c r="N74" s="178"/>
      <c r="O74" s="178"/>
      <c r="P74" s="129"/>
      <c r="Q74" s="179"/>
      <c r="R74" s="179"/>
      <c r="S74" s="179"/>
      <c r="T74" s="179"/>
      <c r="U74" s="179"/>
      <c r="V74" s="180"/>
      <c r="W74" s="180"/>
      <c r="X74" s="180"/>
      <c r="Y74" s="180"/>
      <c r="Z74" s="180"/>
      <c r="AA74" s="129"/>
    </row>
    <row r="75" spans="1:27" s="7" customFormat="1" ht="21" customHeight="1" x14ac:dyDescent="0.25">
      <c r="A75" s="11"/>
      <c r="B75" s="6"/>
      <c r="C75" s="365" t="s">
        <v>60</v>
      </c>
      <c r="D75" s="8">
        <v>4</v>
      </c>
      <c r="E75" s="6" t="s">
        <v>41</v>
      </c>
      <c r="F75" s="6" t="s">
        <v>49</v>
      </c>
      <c r="G75" s="112">
        <v>100</v>
      </c>
      <c r="H75" s="112">
        <v>0</v>
      </c>
      <c r="I75" s="112">
        <v>0</v>
      </c>
      <c r="J75" s="6">
        <f t="shared" si="13"/>
        <v>0</v>
      </c>
      <c r="K75" s="6"/>
      <c r="L75" s="112">
        <v>2</v>
      </c>
      <c r="M75" s="6">
        <f t="shared" si="29"/>
        <v>24</v>
      </c>
      <c r="N75" s="112">
        <v>60</v>
      </c>
      <c r="O75" s="112">
        <v>16</v>
      </c>
      <c r="P75" s="6">
        <f t="shared" si="30"/>
        <v>100</v>
      </c>
      <c r="Q75" s="113">
        <f>IFERROR(IF(AND((Q$220-$P75)/$M75&gt;0,(Q$220-$P75)/$M75&lt;1),(Q$220-$P75)/$M75,IF((Q$220-$P75)/$M75&gt;0,1,0)),0)</f>
        <v>0</v>
      </c>
      <c r="R75" s="113">
        <f>IFERROR(IF(AND((R$220-$P75)/$M75&gt;0,(R$220-$P75)/$M75&lt;1),(R$220-$P75)/$M75,IF((R$220-$P75)/$M75&gt;0,1,0)),0)</f>
        <v>0</v>
      </c>
      <c r="S75" s="113">
        <f>IFERROR(IF(AND((S$220-$P75)/$M75&gt;0,(S$220-$P75)/$M75&lt;1),(S$220-$P75)/$M75,IF((S$220-$P75)/$M75&gt;0,1,0)),0)</f>
        <v>0</v>
      </c>
      <c r="T75" s="113">
        <f>IFERROR(IF(AND((T$220-$P75)/$M75&gt;0,(T$220-$P75)/$M75&lt;1),(T$220-$P75)/$M75,IF((T$220-$P75)/$M75&gt;0,1,0)),0)</f>
        <v>0</v>
      </c>
      <c r="U75" s="113">
        <f>IFERROR(IF(AND((U$220-$P75)/$M75&gt;0,(U$220-$P75)/$M75&lt;1),(U$220-$P75)/$M75,IF((U$220-$P75)/$M75&gt;0,1,0)),0)</f>
        <v>0</v>
      </c>
      <c r="V75" s="114">
        <f t="shared" si="3"/>
        <v>0</v>
      </c>
      <c r="W75" s="114">
        <f t="shared" si="4"/>
        <v>0</v>
      </c>
      <c r="X75" s="114">
        <f t="shared" si="5"/>
        <v>0</v>
      </c>
      <c r="Y75" s="114">
        <f t="shared" si="6"/>
        <v>0</v>
      </c>
      <c r="Z75" s="114">
        <f t="shared" si="7"/>
        <v>0</v>
      </c>
      <c r="AA75" s="6"/>
    </row>
    <row r="76" spans="1:27" s="181" customFormat="1" ht="21" customHeight="1" x14ac:dyDescent="0.25">
      <c r="A76" s="173"/>
      <c r="B76" s="129"/>
      <c r="C76" s="174" t="s">
        <v>61</v>
      </c>
      <c r="D76" s="175">
        <v>1</v>
      </c>
      <c r="E76" s="129" t="s">
        <v>41</v>
      </c>
      <c r="F76" s="129" t="s">
        <v>49</v>
      </c>
      <c r="G76" s="176"/>
      <c r="H76" s="176"/>
      <c r="I76" s="176"/>
      <c r="J76" s="177"/>
      <c r="K76" s="129"/>
      <c r="L76" s="178"/>
      <c r="M76" s="129"/>
      <c r="N76" s="178"/>
      <c r="O76" s="178"/>
      <c r="P76" s="129"/>
      <c r="Q76" s="179"/>
      <c r="R76" s="179"/>
      <c r="S76" s="179"/>
      <c r="T76" s="179"/>
      <c r="U76" s="179"/>
      <c r="V76" s="180"/>
      <c r="W76" s="180"/>
      <c r="X76" s="180"/>
      <c r="Y76" s="180"/>
      <c r="Z76" s="180"/>
      <c r="AA76" s="129"/>
    </row>
    <row r="77" spans="1:27" s="181" customFormat="1" ht="21" customHeight="1" x14ac:dyDescent="0.25">
      <c r="A77" s="173"/>
      <c r="B77" s="129"/>
      <c r="C77" s="174" t="s">
        <v>62</v>
      </c>
      <c r="D77" s="175">
        <v>1</v>
      </c>
      <c r="E77" s="129" t="s">
        <v>41</v>
      </c>
      <c r="F77" s="129" t="s">
        <v>49</v>
      </c>
      <c r="G77" s="176"/>
      <c r="H77" s="176"/>
      <c r="I77" s="176"/>
      <c r="J77" s="177"/>
      <c r="K77" s="129"/>
      <c r="L77" s="178"/>
      <c r="M77" s="129"/>
      <c r="N77" s="178"/>
      <c r="O77" s="178"/>
      <c r="P77" s="129"/>
      <c r="Q77" s="179"/>
      <c r="R77" s="179"/>
      <c r="S77" s="179"/>
      <c r="T77" s="179"/>
      <c r="U77" s="179"/>
      <c r="V77" s="180"/>
      <c r="W77" s="180"/>
      <c r="X77" s="180"/>
      <c r="Y77" s="180"/>
      <c r="Z77" s="180"/>
      <c r="AA77" s="129"/>
    </row>
    <row r="78" spans="1:27" s="181" customFormat="1" ht="21" customHeight="1" x14ac:dyDescent="0.25">
      <c r="A78" s="173"/>
      <c r="B78" s="129"/>
      <c r="C78" s="174" t="s">
        <v>63</v>
      </c>
      <c r="D78" s="175">
        <v>2</v>
      </c>
      <c r="E78" s="129" t="s">
        <v>41</v>
      </c>
      <c r="F78" s="129" t="s">
        <v>49</v>
      </c>
      <c r="G78" s="176"/>
      <c r="H78" s="176"/>
      <c r="I78" s="176"/>
      <c r="J78" s="177"/>
      <c r="K78" s="129"/>
      <c r="L78" s="178"/>
      <c r="M78" s="129"/>
      <c r="N78" s="178"/>
      <c r="O78" s="178"/>
      <c r="P78" s="129"/>
      <c r="Q78" s="179"/>
      <c r="R78" s="179"/>
      <c r="S78" s="179"/>
      <c r="T78" s="179"/>
      <c r="U78" s="179"/>
      <c r="V78" s="180"/>
      <c r="W78" s="180"/>
      <c r="X78" s="180"/>
      <c r="Y78" s="180"/>
      <c r="Z78" s="180"/>
      <c r="AA78" s="129"/>
    </row>
    <row r="79" spans="1:27" s="181" customFormat="1" ht="21" customHeight="1" x14ac:dyDescent="0.25">
      <c r="A79" s="173"/>
      <c r="B79" s="129"/>
      <c r="C79" s="174" t="s">
        <v>64</v>
      </c>
      <c r="D79" s="175">
        <v>2</v>
      </c>
      <c r="E79" s="129" t="s">
        <v>41</v>
      </c>
      <c r="F79" s="129" t="s">
        <v>49</v>
      </c>
      <c r="G79" s="176"/>
      <c r="H79" s="176"/>
      <c r="I79" s="176"/>
      <c r="J79" s="177"/>
      <c r="K79" s="129"/>
      <c r="L79" s="178"/>
      <c r="M79" s="129"/>
      <c r="N79" s="178"/>
      <c r="O79" s="178"/>
      <c r="P79" s="129"/>
      <c r="Q79" s="179"/>
      <c r="R79" s="179"/>
      <c r="S79" s="179"/>
      <c r="T79" s="179"/>
      <c r="U79" s="179"/>
      <c r="V79" s="180"/>
      <c r="W79" s="180"/>
      <c r="X79" s="180"/>
      <c r="Y79" s="180"/>
      <c r="Z79" s="180"/>
      <c r="AA79" s="129"/>
    </row>
    <row r="80" spans="1:27" s="181" customFormat="1" ht="21" customHeight="1" x14ac:dyDescent="0.25">
      <c r="A80" s="173"/>
      <c r="B80" s="129"/>
      <c r="C80" s="174" t="s">
        <v>65</v>
      </c>
      <c r="D80" s="175">
        <v>1</v>
      </c>
      <c r="E80" s="129" t="s">
        <v>41</v>
      </c>
      <c r="F80" s="129" t="s">
        <v>49</v>
      </c>
      <c r="G80" s="176"/>
      <c r="H80" s="176"/>
      <c r="I80" s="176"/>
      <c r="J80" s="177"/>
      <c r="K80" s="129"/>
      <c r="L80" s="178"/>
      <c r="M80" s="129"/>
      <c r="N80" s="178"/>
      <c r="O80" s="178"/>
      <c r="P80" s="129"/>
      <c r="Q80" s="179"/>
      <c r="R80" s="179"/>
      <c r="S80" s="179"/>
      <c r="T80" s="179"/>
      <c r="U80" s="179"/>
      <c r="V80" s="180"/>
      <c r="W80" s="180"/>
      <c r="X80" s="180"/>
      <c r="Y80" s="180"/>
      <c r="Z80" s="180"/>
      <c r="AA80" s="129"/>
    </row>
    <row r="81" spans="1:27" s="181" customFormat="1" ht="21" customHeight="1" x14ac:dyDescent="0.25">
      <c r="A81" s="173"/>
      <c r="B81" s="129"/>
      <c r="C81" s="174" t="s">
        <v>66</v>
      </c>
      <c r="D81" s="175">
        <v>1</v>
      </c>
      <c r="E81" s="129" t="s">
        <v>41</v>
      </c>
      <c r="F81" s="129" t="s">
        <v>49</v>
      </c>
      <c r="G81" s="176"/>
      <c r="H81" s="176"/>
      <c r="I81" s="176"/>
      <c r="J81" s="177"/>
      <c r="K81" s="129"/>
      <c r="L81" s="178"/>
      <c r="M81" s="129"/>
      <c r="N81" s="178"/>
      <c r="O81" s="178"/>
      <c r="P81" s="129"/>
      <c r="Q81" s="179"/>
      <c r="R81" s="179"/>
      <c r="S81" s="179"/>
      <c r="T81" s="179"/>
      <c r="U81" s="179"/>
      <c r="V81" s="180"/>
      <c r="W81" s="180"/>
      <c r="X81" s="180"/>
      <c r="Y81" s="180"/>
      <c r="Z81" s="180"/>
      <c r="AA81" s="129"/>
    </row>
    <row r="82" spans="1:27" s="181" customFormat="1" ht="21" customHeight="1" x14ac:dyDescent="0.25">
      <c r="A82" s="173"/>
      <c r="B82" s="129"/>
      <c r="C82" s="174" t="s">
        <v>67</v>
      </c>
      <c r="D82" s="175">
        <v>2</v>
      </c>
      <c r="E82" s="129" t="s">
        <v>41</v>
      </c>
      <c r="F82" s="129" t="s">
        <v>49</v>
      </c>
      <c r="G82" s="176"/>
      <c r="H82" s="176"/>
      <c r="I82" s="176"/>
      <c r="J82" s="177"/>
      <c r="K82" s="129"/>
      <c r="L82" s="178"/>
      <c r="M82" s="129"/>
      <c r="N82" s="178"/>
      <c r="O82" s="178"/>
      <c r="P82" s="129"/>
      <c r="Q82" s="179"/>
      <c r="R82" s="179"/>
      <c r="S82" s="179"/>
      <c r="T82" s="179"/>
      <c r="U82" s="179"/>
      <c r="V82" s="180"/>
      <c r="W82" s="180"/>
      <c r="X82" s="180"/>
      <c r="Y82" s="180"/>
      <c r="Z82" s="180"/>
      <c r="AA82" s="129"/>
    </row>
    <row r="83" spans="1:27" s="7" customFormat="1" ht="21" customHeight="1" x14ac:dyDescent="0.25">
      <c r="A83" s="11"/>
      <c r="B83" s="6"/>
      <c r="C83" s="365" t="s">
        <v>68</v>
      </c>
      <c r="D83" s="8">
        <v>5</v>
      </c>
      <c r="E83" s="6" t="s">
        <v>41</v>
      </c>
      <c r="F83" s="6" t="s">
        <v>49</v>
      </c>
      <c r="G83" s="112">
        <v>330</v>
      </c>
      <c r="H83" s="112">
        <v>0</v>
      </c>
      <c r="I83" s="112">
        <v>0</v>
      </c>
      <c r="J83" s="6">
        <f t="shared" ref="J83" si="34">+IF(D83=1,(G83-H83-I83),IF(D83=2,(G83-H83-I83),0))</f>
        <v>0</v>
      </c>
      <c r="K83" s="6"/>
      <c r="L83" s="112">
        <v>40</v>
      </c>
      <c r="M83" s="6">
        <f t="shared" ref="M83" si="35">+L83*12</f>
        <v>480</v>
      </c>
      <c r="N83" s="112">
        <v>-24</v>
      </c>
      <c r="O83" s="112">
        <v>16</v>
      </c>
      <c r="P83" s="6">
        <f>+N83+O83+18</f>
        <v>10</v>
      </c>
      <c r="Q83" s="113">
        <f t="shared" ref="Q83:U85" si="36">IFERROR(IF(AND((Q$220-$P83)/$M83&gt;0,(Q$220-$P83)/$M83&lt;1),(Q$220-$P83)/$M83,IF((Q$220-$P83)/$M83&gt;0,1,0)),0)</f>
        <v>0</v>
      </c>
      <c r="R83" s="113">
        <f t="shared" si="36"/>
        <v>1.6666666666666666E-2</v>
      </c>
      <c r="S83" s="113">
        <f t="shared" si="36"/>
        <v>4.1666666666666664E-2</v>
      </c>
      <c r="T83" s="113">
        <f t="shared" si="36"/>
        <v>6.6666666666666666E-2</v>
      </c>
      <c r="U83" s="113">
        <f t="shared" si="36"/>
        <v>9.166666666666666E-2</v>
      </c>
      <c r="V83" s="114">
        <f t="shared" ref="V83" si="37">Q83*($G83-$H83)</f>
        <v>0</v>
      </c>
      <c r="W83" s="114">
        <f t="shared" ref="W83" si="38">R83*($G83-$H83)-V83</f>
        <v>5.5</v>
      </c>
      <c r="X83" s="114">
        <f t="shared" ref="X83" si="39">S83*($G83-$H83)-SUM(V83:W83)</f>
        <v>8.25</v>
      </c>
      <c r="Y83" s="114">
        <f t="shared" ref="Y83" si="40">T83*($G83-$H83)-SUM(V83:X83)</f>
        <v>8.25</v>
      </c>
      <c r="Z83" s="114">
        <f t="shared" ref="Z83" si="41">U83*($G83-$H83)-SUM(V83:Y83)</f>
        <v>8.2499999999999964</v>
      </c>
      <c r="AA83" s="6"/>
    </row>
    <row r="84" spans="1:27" s="7" customFormat="1" ht="21" customHeight="1" x14ac:dyDescent="0.25">
      <c r="A84" s="11"/>
      <c r="B84" s="6"/>
      <c r="C84" s="7" t="s">
        <v>69</v>
      </c>
      <c r="D84" s="8">
        <v>3</v>
      </c>
      <c r="E84" s="6" t="s">
        <v>70</v>
      </c>
      <c r="F84" s="6" t="s">
        <v>71</v>
      </c>
      <c r="G84" s="112">
        <v>200</v>
      </c>
      <c r="H84" s="112">
        <v>0</v>
      </c>
      <c r="I84" s="112">
        <v>0</v>
      </c>
      <c r="J84" s="6">
        <f t="shared" si="13"/>
        <v>0</v>
      </c>
      <c r="K84" s="6"/>
      <c r="L84" s="112">
        <v>8</v>
      </c>
      <c r="M84" s="6">
        <f t="shared" si="29"/>
        <v>96</v>
      </c>
      <c r="N84" s="112">
        <v>60</v>
      </c>
      <c r="O84" s="112">
        <v>16</v>
      </c>
      <c r="P84" s="6">
        <f t="shared" si="30"/>
        <v>100</v>
      </c>
      <c r="Q84" s="113">
        <f t="shared" si="36"/>
        <v>0</v>
      </c>
      <c r="R84" s="113">
        <f t="shared" si="36"/>
        <v>0</v>
      </c>
      <c r="S84" s="113">
        <f t="shared" si="36"/>
        <v>0</v>
      </c>
      <c r="T84" s="113">
        <f t="shared" si="36"/>
        <v>0</v>
      </c>
      <c r="U84" s="113">
        <f t="shared" si="36"/>
        <v>0</v>
      </c>
      <c r="V84" s="114">
        <f t="shared" si="3"/>
        <v>0</v>
      </c>
      <c r="W84" s="114">
        <f t="shared" si="4"/>
        <v>0</v>
      </c>
      <c r="X84" s="114">
        <f t="shared" si="5"/>
        <v>0</v>
      </c>
      <c r="Y84" s="114">
        <f t="shared" si="6"/>
        <v>0</v>
      </c>
      <c r="Z84" s="114">
        <f t="shared" si="7"/>
        <v>0</v>
      </c>
      <c r="AA84" s="6"/>
    </row>
    <row r="85" spans="1:27" s="7" customFormat="1" ht="21" customHeight="1" x14ac:dyDescent="0.25">
      <c r="A85" s="11"/>
      <c r="B85" s="6"/>
      <c r="C85" s="7" t="s">
        <v>72</v>
      </c>
      <c r="D85" s="8">
        <v>3</v>
      </c>
      <c r="E85" s="6" t="s">
        <v>70</v>
      </c>
      <c r="F85" s="6" t="s">
        <v>71</v>
      </c>
      <c r="G85" s="112">
        <v>400</v>
      </c>
      <c r="H85" s="112">
        <v>0</v>
      </c>
      <c r="I85" s="112">
        <v>0</v>
      </c>
      <c r="J85" s="6">
        <f t="shared" si="13"/>
        <v>0</v>
      </c>
      <c r="K85" s="6"/>
      <c r="L85" s="112">
        <v>3</v>
      </c>
      <c r="M85" s="6">
        <f t="shared" si="29"/>
        <v>36</v>
      </c>
      <c r="N85" s="112">
        <v>48</v>
      </c>
      <c r="O85" s="112">
        <v>16</v>
      </c>
      <c r="P85" s="6">
        <f t="shared" si="30"/>
        <v>88</v>
      </c>
      <c r="Q85" s="113">
        <f t="shared" si="36"/>
        <v>0</v>
      </c>
      <c r="R85" s="113">
        <f t="shared" si="36"/>
        <v>0</v>
      </c>
      <c r="S85" s="113">
        <f t="shared" si="36"/>
        <v>0</v>
      </c>
      <c r="T85" s="113">
        <f t="shared" si="36"/>
        <v>0</v>
      </c>
      <c r="U85" s="113">
        <f t="shared" si="36"/>
        <v>0</v>
      </c>
      <c r="V85" s="114">
        <f t="shared" si="3"/>
        <v>0</v>
      </c>
      <c r="W85" s="114">
        <f t="shared" si="4"/>
        <v>0</v>
      </c>
      <c r="X85" s="114">
        <f t="shared" si="5"/>
        <v>0</v>
      </c>
      <c r="Y85" s="114">
        <f t="shared" si="6"/>
        <v>0</v>
      </c>
      <c r="Z85" s="114">
        <f t="shared" si="7"/>
        <v>0</v>
      </c>
      <c r="AA85" s="6"/>
    </row>
    <row r="86" spans="1:27" s="181" customFormat="1" ht="21" customHeight="1" x14ac:dyDescent="0.25">
      <c r="A86" s="173"/>
      <c r="B86" s="129"/>
      <c r="C86" s="174" t="s">
        <v>73</v>
      </c>
      <c r="D86" s="175">
        <v>2</v>
      </c>
      <c r="E86" s="129" t="s">
        <v>70</v>
      </c>
      <c r="F86" s="129" t="s">
        <v>71</v>
      </c>
      <c r="G86" s="176"/>
      <c r="H86" s="176"/>
      <c r="I86" s="176"/>
      <c r="J86" s="177"/>
      <c r="K86" s="129"/>
      <c r="L86" s="178"/>
      <c r="M86" s="129"/>
      <c r="N86" s="178"/>
      <c r="O86" s="178"/>
      <c r="P86" s="129"/>
      <c r="Q86" s="179"/>
      <c r="R86" s="179"/>
      <c r="S86" s="179"/>
      <c r="T86" s="179"/>
      <c r="U86" s="179"/>
      <c r="V86" s="180"/>
      <c r="W86" s="180"/>
      <c r="X86" s="180"/>
      <c r="Y86" s="180"/>
      <c r="Z86" s="180"/>
      <c r="AA86" s="129"/>
    </row>
    <row r="87" spans="1:27" s="7" customFormat="1" ht="21" customHeight="1" x14ac:dyDescent="0.25">
      <c r="A87" s="11"/>
      <c r="B87" s="6"/>
      <c r="C87" s="7" t="s">
        <v>74</v>
      </c>
      <c r="D87" s="8">
        <v>2</v>
      </c>
      <c r="E87" s="6" t="s">
        <v>70</v>
      </c>
      <c r="F87" s="6" t="s">
        <v>71</v>
      </c>
      <c r="G87" s="112">
        <v>47</v>
      </c>
      <c r="H87" s="112">
        <v>0</v>
      </c>
      <c r="I87" s="112">
        <v>0</v>
      </c>
      <c r="J87" s="6">
        <f>+IF(D87=1,(G87-H87-I87),IF(D87=2,(G87-H87-I87),0))</f>
        <v>47</v>
      </c>
      <c r="K87" s="6"/>
      <c r="L87" s="112">
        <v>1</v>
      </c>
      <c r="M87" s="6">
        <f>+L87*12</f>
        <v>12</v>
      </c>
      <c r="N87" s="112">
        <v>24</v>
      </c>
      <c r="O87" s="112">
        <v>14</v>
      </c>
      <c r="P87" s="6">
        <f>+N87+O87+18</f>
        <v>56</v>
      </c>
      <c r="Q87" s="113">
        <f>IFERROR(IF(AND((Q$220-$P87)/$M87&gt;0,(Q$220-$P87)/$M87&lt;1),(Q$220-$P87)/$M87,IF((Q$220-$P87)/$M87&gt;0,1,0)),0)</f>
        <v>0</v>
      </c>
      <c r="R87" s="113">
        <f>IFERROR(IF(AND((R$220-$P87)/$M87&gt;0,(R$220-$P87)/$M87&lt;1),(R$220-$P87)/$M87,IF((R$220-$P87)/$M87&gt;0,1,0)),0)</f>
        <v>0</v>
      </c>
      <c r="S87" s="113">
        <f>IFERROR(IF(AND((S$220-$P87)/$M87&gt;0,(S$220-$P87)/$M87&lt;1),(S$220-$P87)/$M87,IF((S$220-$P87)/$M87&gt;0,1,0)),0)</f>
        <v>0</v>
      </c>
      <c r="T87" s="113">
        <f>IFERROR(IF(AND((T$220-$P87)/$M87&gt;0,(T$220-$P87)/$M87&lt;1),(T$220-$P87)/$M87,IF((T$220-$P87)/$M87&gt;0,1,0)),0)</f>
        <v>0</v>
      </c>
      <c r="U87" s="113">
        <f>IFERROR(IF(AND((U$220-$P87)/$M87&gt;0,(U$220-$P87)/$M87&lt;1),(U$220-$P87)/$M87,IF((U$220-$P87)/$M87&gt;0,1,0)),0)</f>
        <v>0</v>
      </c>
      <c r="V87" s="114">
        <f>Q87*($G87-$H87)</f>
        <v>0</v>
      </c>
      <c r="W87" s="114">
        <f>R87*($G87-$H87)-V87</f>
        <v>0</v>
      </c>
      <c r="X87" s="114">
        <f>S87*($G87-$H87)-SUM(V87:W87)</f>
        <v>0</v>
      </c>
      <c r="Y87" s="114">
        <f>T87*($G87-$H87)-SUM(V87:X87)</f>
        <v>0</v>
      </c>
      <c r="Z87" s="114">
        <f>U87*($G87-$H87)-SUM(V87:Y87)</f>
        <v>0</v>
      </c>
      <c r="AA87" s="6"/>
    </row>
    <row r="88" spans="1:27" s="7" customFormat="1" ht="21" customHeight="1" x14ac:dyDescent="0.25">
      <c r="A88" s="11"/>
      <c r="B88" s="6"/>
      <c r="C88" s="7" t="s">
        <v>75</v>
      </c>
      <c r="D88" s="8">
        <v>2</v>
      </c>
      <c r="E88" s="6" t="s">
        <v>70</v>
      </c>
      <c r="F88" s="6" t="s">
        <v>71</v>
      </c>
      <c r="G88" s="112">
        <v>119</v>
      </c>
      <c r="H88" s="112">
        <v>0</v>
      </c>
      <c r="I88" s="112">
        <v>0</v>
      </c>
      <c r="J88" s="6">
        <f t="shared" si="13"/>
        <v>119</v>
      </c>
      <c r="K88" s="6"/>
      <c r="L88" s="110" t="s">
        <v>306</v>
      </c>
      <c r="M88" s="111"/>
      <c r="N88" s="111"/>
      <c r="O88" s="111"/>
      <c r="P88" s="111"/>
      <c r="Q88" s="111"/>
      <c r="R88" s="111"/>
      <c r="S88" s="111"/>
      <c r="T88" s="111"/>
      <c r="U88" s="111"/>
      <c r="V88" s="112">
        <v>0</v>
      </c>
      <c r="W88" s="112">
        <v>25</v>
      </c>
      <c r="X88" s="112">
        <v>51</v>
      </c>
      <c r="Y88" s="112">
        <v>43</v>
      </c>
      <c r="Z88" s="112">
        <v>0</v>
      </c>
      <c r="AA88" s="6"/>
    </row>
    <row r="89" spans="1:27" s="7" customFormat="1" ht="21" customHeight="1" x14ac:dyDescent="0.25">
      <c r="A89" s="11"/>
      <c r="B89" s="6"/>
      <c r="C89" s="7" t="s">
        <v>76</v>
      </c>
      <c r="D89" s="8">
        <v>1</v>
      </c>
      <c r="E89" s="6" t="s">
        <v>70</v>
      </c>
      <c r="F89" s="6" t="s">
        <v>71</v>
      </c>
      <c r="G89" s="112">
        <v>160</v>
      </c>
      <c r="H89" s="112">
        <v>0</v>
      </c>
      <c r="I89" s="112">
        <f t="shared" ref="I89" si="42">+G89-H89</f>
        <v>160</v>
      </c>
      <c r="J89" s="6">
        <f t="shared" si="13"/>
        <v>0</v>
      </c>
      <c r="K89" s="6"/>
      <c r="L89" s="110" t="s">
        <v>306</v>
      </c>
      <c r="M89" s="111"/>
      <c r="N89" s="111"/>
      <c r="O89" s="111"/>
      <c r="P89" s="111"/>
      <c r="Q89" s="111"/>
      <c r="R89" s="111"/>
      <c r="S89" s="111"/>
      <c r="T89" s="111"/>
      <c r="U89" s="111"/>
      <c r="V89" s="112">
        <v>20</v>
      </c>
      <c r="W89" s="112">
        <v>60</v>
      </c>
      <c r="X89" s="112">
        <v>80</v>
      </c>
      <c r="Y89" s="112">
        <v>0</v>
      </c>
      <c r="Z89" s="112">
        <v>0</v>
      </c>
      <c r="AA89" s="6"/>
    </row>
    <row r="90" spans="1:27" s="7" customFormat="1" ht="21" customHeight="1" x14ac:dyDescent="0.25">
      <c r="A90" s="11"/>
      <c r="B90" s="6"/>
      <c r="C90" s="7" t="s">
        <v>77</v>
      </c>
      <c r="D90" s="8">
        <v>3</v>
      </c>
      <c r="E90" s="6" t="s">
        <v>70</v>
      </c>
      <c r="F90" s="6" t="s">
        <v>32</v>
      </c>
      <c r="G90" s="112">
        <v>250</v>
      </c>
      <c r="H90" s="112">
        <v>0</v>
      </c>
      <c r="I90" s="112">
        <v>0</v>
      </c>
      <c r="J90" s="6">
        <f t="shared" si="13"/>
        <v>0</v>
      </c>
      <c r="K90" s="6"/>
      <c r="L90" s="112">
        <v>5</v>
      </c>
      <c r="M90" s="6">
        <f t="shared" si="29"/>
        <v>60</v>
      </c>
      <c r="N90" s="112">
        <v>36</v>
      </c>
      <c r="O90" s="112">
        <v>14</v>
      </c>
      <c r="P90" s="6">
        <f t="shared" ref="P90:P91" si="43">+N90+O90+24</f>
        <v>74</v>
      </c>
      <c r="Q90" s="113">
        <f t="shared" ref="Q90:U91" si="44">IFERROR(IF(AND((Q$220-$P90)/$M90&gt;0,(Q$220-$P90)/$M90&lt;1),(Q$220-$P90)/$M90,IF((Q$220-$P90)/$M90&gt;0,1,0)),0)</f>
        <v>0</v>
      </c>
      <c r="R90" s="113">
        <f t="shared" si="44"/>
        <v>0</v>
      </c>
      <c r="S90" s="113">
        <f t="shared" si="44"/>
        <v>0</v>
      </c>
      <c r="T90" s="113">
        <f t="shared" si="44"/>
        <v>0</v>
      </c>
      <c r="U90" s="113">
        <f t="shared" si="44"/>
        <v>0</v>
      </c>
      <c r="V90" s="114">
        <f t="shared" si="3"/>
        <v>0</v>
      </c>
      <c r="W90" s="114">
        <f t="shared" si="4"/>
        <v>0</v>
      </c>
      <c r="X90" s="114">
        <f t="shared" si="5"/>
        <v>0</v>
      </c>
      <c r="Y90" s="114">
        <f t="shared" si="6"/>
        <v>0</v>
      </c>
      <c r="Z90" s="114">
        <f t="shared" si="7"/>
        <v>0</v>
      </c>
      <c r="AA90" s="6"/>
    </row>
    <row r="91" spans="1:27" s="7" customFormat="1" ht="21" customHeight="1" x14ac:dyDescent="0.25">
      <c r="A91" s="11"/>
      <c r="B91" s="6"/>
      <c r="C91" s="365" t="s">
        <v>78</v>
      </c>
      <c r="D91" s="8">
        <v>5</v>
      </c>
      <c r="E91" s="6" t="s">
        <v>70</v>
      </c>
      <c r="F91" s="6" t="s">
        <v>71</v>
      </c>
      <c r="G91" s="112">
        <v>70</v>
      </c>
      <c r="H91" s="112">
        <v>0</v>
      </c>
      <c r="I91" s="112">
        <v>0</v>
      </c>
      <c r="J91" s="6">
        <f t="shared" si="13"/>
        <v>0</v>
      </c>
      <c r="K91" s="6"/>
      <c r="L91" s="112">
        <v>1.5</v>
      </c>
      <c r="M91" s="6">
        <f t="shared" si="29"/>
        <v>18</v>
      </c>
      <c r="N91" s="112">
        <v>48</v>
      </c>
      <c r="O91" s="112">
        <v>14</v>
      </c>
      <c r="P91" s="6">
        <f t="shared" si="43"/>
        <v>86</v>
      </c>
      <c r="Q91" s="113">
        <f t="shared" si="44"/>
        <v>0</v>
      </c>
      <c r="R91" s="113">
        <f t="shared" si="44"/>
        <v>0</v>
      </c>
      <c r="S91" s="113">
        <f t="shared" si="44"/>
        <v>0</v>
      </c>
      <c r="T91" s="113">
        <f t="shared" si="44"/>
        <v>0</v>
      </c>
      <c r="U91" s="113">
        <f t="shared" si="44"/>
        <v>0</v>
      </c>
      <c r="V91" s="114">
        <f t="shared" si="3"/>
        <v>0</v>
      </c>
      <c r="W91" s="114">
        <f t="shared" si="4"/>
        <v>0</v>
      </c>
      <c r="X91" s="114">
        <f t="shared" si="5"/>
        <v>0</v>
      </c>
      <c r="Y91" s="114">
        <f t="shared" si="6"/>
        <v>0</v>
      </c>
      <c r="Z91" s="114">
        <f t="shared" si="7"/>
        <v>0</v>
      </c>
      <c r="AA91" s="6"/>
    </row>
    <row r="92" spans="1:27" s="7" customFormat="1" ht="21" customHeight="1" x14ac:dyDescent="0.25">
      <c r="A92" s="11"/>
      <c r="B92" s="6"/>
      <c r="C92" s="7" t="s">
        <v>79</v>
      </c>
      <c r="D92" s="8">
        <v>2</v>
      </c>
      <c r="E92" s="6" t="s">
        <v>70</v>
      </c>
      <c r="F92" s="6" t="s">
        <v>71</v>
      </c>
      <c r="G92" s="112">
        <v>18</v>
      </c>
      <c r="H92" s="112">
        <v>0</v>
      </c>
      <c r="I92" s="112">
        <v>0</v>
      </c>
      <c r="J92" s="6">
        <f t="shared" si="13"/>
        <v>18</v>
      </c>
      <c r="K92" s="6"/>
      <c r="L92" s="110" t="s">
        <v>306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2">
        <v>0</v>
      </c>
      <c r="W92" s="112">
        <v>0</v>
      </c>
      <c r="X92" s="112">
        <v>18</v>
      </c>
      <c r="Y92" s="112">
        <v>0</v>
      </c>
      <c r="Z92" s="112">
        <v>0</v>
      </c>
      <c r="AA92" s="6"/>
    </row>
    <row r="93" spans="1:27" s="7" customFormat="1" ht="21" customHeight="1" x14ac:dyDescent="0.25">
      <c r="A93" s="11"/>
      <c r="B93" s="6"/>
      <c r="C93" s="365" t="s">
        <v>80</v>
      </c>
      <c r="D93" s="8">
        <v>5</v>
      </c>
      <c r="E93" s="6" t="s">
        <v>70</v>
      </c>
      <c r="F93" s="6" t="s">
        <v>32</v>
      </c>
      <c r="G93" s="112">
        <v>200</v>
      </c>
      <c r="H93" s="112">
        <v>0</v>
      </c>
      <c r="I93" s="112">
        <v>0</v>
      </c>
      <c r="J93" s="6">
        <f t="shared" si="13"/>
        <v>0</v>
      </c>
      <c r="K93" s="6"/>
      <c r="L93" s="112">
        <v>10</v>
      </c>
      <c r="M93" s="6">
        <f t="shared" si="29"/>
        <v>120</v>
      </c>
      <c r="N93" s="112">
        <v>48</v>
      </c>
      <c r="O93" s="112">
        <v>14</v>
      </c>
      <c r="P93" s="6">
        <f t="shared" ref="P93" si="45">+N93+O93+18</f>
        <v>80</v>
      </c>
      <c r="Q93" s="113">
        <f t="shared" ref="Q93:U97" si="46">IFERROR(IF(AND((Q$220-$P93)/$M93&gt;0,(Q$220-$P93)/$M93&lt;1),(Q$220-$P93)/$M93,IF((Q$220-$P93)/$M93&gt;0,1,0)),0)</f>
        <v>0</v>
      </c>
      <c r="R93" s="113">
        <f t="shared" si="46"/>
        <v>0</v>
      </c>
      <c r="S93" s="113">
        <f t="shared" si="46"/>
        <v>0</v>
      </c>
      <c r="T93" s="113">
        <f t="shared" si="46"/>
        <v>0</v>
      </c>
      <c r="U93" s="113">
        <f t="shared" si="46"/>
        <v>0</v>
      </c>
      <c r="V93" s="114">
        <f t="shared" si="3"/>
        <v>0</v>
      </c>
      <c r="W93" s="114">
        <f t="shared" si="4"/>
        <v>0</v>
      </c>
      <c r="X93" s="114">
        <f t="shared" si="5"/>
        <v>0</v>
      </c>
      <c r="Y93" s="114">
        <f t="shared" si="6"/>
        <v>0</v>
      </c>
      <c r="Z93" s="114">
        <f t="shared" si="7"/>
        <v>0</v>
      </c>
      <c r="AA93" s="6"/>
    </row>
    <row r="94" spans="1:27" s="7" customFormat="1" ht="21" customHeight="1" x14ac:dyDescent="0.25">
      <c r="A94" s="11"/>
      <c r="B94" s="6"/>
      <c r="C94" s="365" t="s">
        <v>81</v>
      </c>
      <c r="D94" s="8">
        <v>4</v>
      </c>
      <c r="E94" s="6" t="s">
        <v>70</v>
      </c>
      <c r="F94" s="6" t="s">
        <v>32</v>
      </c>
      <c r="G94" s="112">
        <v>360</v>
      </c>
      <c r="H94" s="112">
        <v>0</v>
      </c>
      <c r="I94" s="112">
        <v>0</v>
      </c>
      <c r="J94" s="6">
        <f t="shared" si="13"/>
        <v>0</v>
      </c>
      <c r="K94" s="6"/>
      <c r="L94" s="112">
        <v>6</v>
      </c>
      <c r="M94" s="6">
        <f t="shared" si="29"/>
        <v>72</v>
      </c>
      <c r="N94" s="112">
        <v>84</v>
      </c>
      <c r="O94" s="112">
        <v>14</v>
      </c>
      <c r="P94" s="6">
        <f t="shared" ref="P94:P97" si="47">+N94+O94+24</f>
        <v>122</v>
      </c>
      <c r="Q94" s="113">
        <f t="shared" si="46"/>
        <v>0</v>
      </c>
      <c r="R94" s="113">
        <f t="shared" si="46"/>
        <v>0</v>
      </c>
      <c r="S94" s="113">
        <f t="shared" si="46"/>
        <v>0</v>
      </c>
      <c r="T94" s="113">
        <f t="shared" si="46"/>
        <v>0</v>
      </c>
      <c r="U94" s="113">
        <f t="shared" si="46"/>
        <v>0</v>
      </c>
      <c r="V94" s="114">
        <f t="shared" si="3"/>
        <v>0</v>
      </c>
      <c r="W94" s="114">
        <f t="shared" si="4"/>
        <v>0</v>
      </c>
      <c r="X94" s="114">
        <f t="shared" si="5"/>
        <v>0</v>
      </c>
      <c r="Y94" s="114">
        <f t="shared" si="6"/>
        <v>0</v>
      </c>
      <c r="Z94" s="114">
        <f t="shared" si="7"/>
        <v>0</v>
      </c>
      <c r="AA94" s="6"/>
    </row>
    <row r="95" spans="1:27" s="7" customFormat="1" ht="21" customHeight="1" x14ac:dyDescent="0.25">
      <c r="A95" s="11"/>
      <c r="B95" s="6"/>
      <c r="C95" s="365" t="s">
        <v>82</v>
      </c>
      <c r="D95" s="8">
        <v>4</v>
      </c>
      <c r="E95" s="6" t="s">
        <v>70</v>
      </c>
      <c r="F95" s="6" t="s">
        <v>32</v>
      </c>
      <c r="G95" s="112">
        <v>600</v>
      </c>
      <c r="H95" s="112">
        <v>0</v>
      </c>
      <c r="I95" s="112">
        <v>0</v>
      </c>
      <c r="J95" s="6">
        <f t="shared" si="13"/>
        <v>0</v>
      </c>
      <c r="K95" s="6"/>
      <c r="L95" s="112">
        <v>8</v>
      </c>
      <c r="M95" s="6">
        <f t="shared" si="29"/>
        <v>96</v>
      </c>
      <c r="N95" s="112">
        <v>120</v>
      </c>
      <c r="O95" s="112">
        <v>14</v>
      </c>
      <c r="P95" s="6">
        <f t="shared" si="47"/>
        <v>158</v>
      </c>
      <c r="Q95" s="113">
        <f t="shared" si="46"/>
        <v>0</v>
      </c>
      <c r="R95" s="113">
        <f t="shared" si="46"/>
        <v>0</v>
      </c>
      <c r="S95" s="113">
        <f t="shared" si="46"/>
        <v>0</v>
      </c>
      <c r="T95" s="113">
        <f t="shared" si="46"/>
        <v>0</v>
      </c>
      <c r="U95" s="113">
        <f t="shared" si="46"/>
        <v>0</v>
      </c>
      <c r="V95" s="114">
        <f t="shared" si="3"/>
        <v>0</v>
      </c>
      <c r="W95" s="114">
        <f t="shared" si="4"/>
        <v>0</v>
      </c>
      <c r="X95" s="114">
        <f t="shared" si="5"/>
        <v>0</v>
      </c>
      <c r="Y95" s="114">
        <f t="shared" si="6"/>
        <v>0</v>
      </c>
      <c r="Z95" s="114">
        <f t="shared" si="7"/>
        <v>0</v>
      </c>
      <c r="AA95" s="6"/>
    </row>
    <row r="96" spans="1:27" s="7" customFormat="1" ht="21" customHeight="1" x14ac:dyDescent="0.25">
      <c r="A96" s="126"/>
      <c r="B96" s="6"/>
      <c r="C96" s="365" t="s">
        <v>83</v>
      </c>
      <c r="D96" s="8">
        <v>4</v>
      </c>
      <c r="E96" s="6" t="s">
        <v>84</v>
      </c>
      <c r="F96" s="6" t="s">
        <v>49</v>
      </c>
      <c r="G96" s="112">
        <v>100</v>
      </c>
      <c r="H96" s="112">
        <v>0</v>
      </c>
      <c r="I96" s="112">
        <v>0</v>
      </c>
      <c r="J96" s="6">
        <f t="shared" si="13"/>
        <v>0</v>
      </c>
      <c r="K96" s="6"/>
      <c r="L96" s="112">
        <v>2</v>
      </c>
      <c r="M96" s="6">
        <f t="shared" si="29"/>
        <v>24</v>
      </c>
      <c r="N96" s="112">
        <v>84</v>
      </c>
      <c r="O96" s="112">
        <v>14</v>
      </c>
      <c r="P96" s="6">
        <f t="shared" si="47"/>
        <v>122</v>
      </c>
      <c r="Q96" s="113">
        <f t="shared" si="46"/>
        <v>0</v>
      </c>
      <c r="R96" s="113">
        <f t="shared" si="46"/>
        <v>0</v>
      </c>
      <c r="S96" s="113">
        <f t="shared" si="46"/>
        <v>0</v>
      </c>
      <c r="T96" s="113">
        <f t="shared" si="46"/>
        <v>0</v>
      </c>
      <c r="U96" s="113">
        <f t="shared" si="46"/>
        <v>0</v>
      </c>
      <c r="V96" s="114">
        <f t="shared" si="3"/>
        <v>0</v>
      </c>
      <c r="W96" s="114">
        <f t="shared" si="4"/>
        <v>0</v>
      </c>
      <c r="X96" s="114">
        <f t="shared" si="5"/>
        <v>0</v>
      </c>
      <c r="Y96" s="114">
        <f t="shared" si="6"/>
        <v>0</v>
      </c>
      <c r="Z96" s="114">
        <f t="shared" si="7"/>
        <v>0</v>
      </c>
      <c r="AA96" s="6"/>
    </row>
    <row r="97" spans="1:27" s="7" customFormat="1" ht="21" customHeight="1" x14ac:dyDescent="0.25">
      <c r="A97" s="11"/>
      <c r="B97" s="6"/>
      <c r="C97" s="365" t="s">
        <v>85</v>
      </c>
      <c r="D97" s="8">
        <v>4</v>
      </c>
      <c r="E97" s="6" t="s">
        <v>84</v>
      </c>
      <c r="F97" s="6" t="s">
        <v>86</v>
      </c>
      <c r="G97" s="112">
        <v>200</v>
      </c>
      <c r="H97" s="112">
        <v>0</v>
      </c>
      <c r="I97" s="112">
        <v>0</v>
      </c>
      <c r="J97" s="6">
        <f t="shared" si="13"/>
        <v>0</v>
      </c>
      <c r="K97" s="6"/>
      <c r="L97" s="112">
        <v>4</v>
      </c>
      <c r="M97" s="6">
        <f t="shared" si="29"/>
        <v>48</v>
      </c>
      <c r="N97" s="112">
        <v>84</v>
      </c>
      <c r="O97" s="112">
        <v>14</v>
      </c>
      <c r="P97" s="6">
        <f t="shared" si="47"/>
        <v>122</v>
      </c>
      <c r="Q97" s="113">
        <f t="shared" si="46"/>
        <v>0</v>
      </c>
      <c r="R97" s="113">
        <f t="shared" si="46"/>
        <v>0</v>
      </c>
      <c r="S97" s="113">
        <f t="shared" si="46"/>
        <v>0</v>
      </c>
      <c r="T97" s="113">
        <f t="shared" si="46"/>
        <v>0</v>
      </c>
      <c r="U97" s="113">
        <f t="shared" si="46"/>
        <v>0</v>
      </c>
      <c r="V97" s="114">
        <f t="shared" si="3"/>
        <v>0</v>
      </c>
      <c r="W97" s="114">
        <f t="shared" si="4"/>
        <v>0</v>
      </c>
      <c r="X97" s="114">
        <f t="shared" si="5"/>
        <v>0</v>
      </c>
      <c r="Y97" s="114">
        <f t="shared" si="6"/>
        <v>0</v>
      </c>
      <c r="Z97" s="114">
        <f t="shared" si="7"/>
        <v>0</v>
      </c>
      <c r="AA97" s="6"/>
    </row>
    <row r="98" spans="1:27" s="7" customFormat="1" ht="21" customHeight="1" x14ac:dyDescent="0.25">
      <c r="A98" s="11"/>
      <c r="B98" s="6"/>
      <c r="C98" s="7" t="s">
        <v>87</v>
      </c>
      <c r="D98" s="8">
        <v>3</v>
      </c>
      <c r="E98" s="6" t="s">
        <v>84</v>
      </c>
      <c r="F98" s="6" t="s">
        <v>49</v>
      </c>
      <c r="G98" s="112">
        <v>0</v>
      </c>
      <c r="H98" s="112">
        <v>0</v>
      </c>
      <c r="I98" s="112">
        <v>0</v>
      </c>
      <c r="J98" s="6">
        <f t="shared" si="13"/>
        <v>0</v>
      </c>
      <c r="K98" s="6"/>
      <c r="L98" s="112">
        <v>1</v>
      </c>
      <c r="M98" s="6">
        <f t="shared" ref="M98" si="48">+L98*12</f>
        <v>12</v>
      </c>
      <c r="N98" s="112">
        <v>36</v>
      </c>
      <c r="O98" s="112">
        <v>14</v>
      </c>
      <c r="P98" s="6">
        <f t="shared" ref="P98" si="49">+N98+O98+18</f>
        <v>68</v>
      </c>
      <c r="Q98" s="113">
        <f t="shared" ref="Q98:U99" si="50">IFERROR(IF(AND((Q$220-$P98)/$M98&gt;0,(Q$220-$P98)/$M98&lt;1),(Q$220-$P98)/$M98,IF((Q$220-$P98)/$M98&gt;0,1,0)),0)</f>
        <v>0</v>
      </c>
      <c r="R98" s="113">
        <f t="shared" si="50"/>
        <v>0</v>
      </c>
      <c r="S98" s="113">
        <f t="shared" si="50"/>
        <v>0</v>
      </c>
      <c r="T98" s="113">
        <f t="shared" si="50"/>
        <v>0</v>
      </c>
      <c r="U98" s="113">
        <f t="shared" si="50"/>
        <v>0</v>
      </c>
      <c r="V98" s="114">
        <f t="shared" ref="V98" si="51">Q98*($G98-$H98)</f>
        <v>0</v>
      </c>
      <c r="W98" s="114">
        <f t="shared" ref="W98" si="52">R98*($G98-$H98)-V98</f>
        <v>0</v>
      </c>
      <c r="X98" s="114">
        <f t="shared" ref="X98" si="53">S98*($G98-$H98)-SUM(V98:W98)</f>
        <v>0</v>
      </c>
      <c r="Y98" s="114">
        <f t="shared" ref="Y98" si="54">T98*($G98-$H98)-SUM(V98:X98)</f>
        <v>0</v>
      </c>
      <c r="Z98" s="114">
        <f t="shared" ref="Z98" si="55">U98*($G98-$H98)-SUM(V98:Y98)</f>
        <v>0</v>
      </c>
      <c r="AA98" s="6"/>
    </row>
    <row r="99" spans="1:27" s="7" customFormat="1" ht="21" customHeight="1" x14ac:dyDescent="0.25">
      <c r="A99" s="11"/>
      <c r="B99" s="6"/>
      <c r="C99" s="365" t="s">
        <v>88</v>
      </c>
      <c r="D99" s="8">
        <v>4</v>
      </c>
      <c r="E99" s="6" t="s">
        <v>84</v>
      </c>
      <c r="F99" s="6" t="s">
        <v>86</v>
      </c>
      <c r="G99" s="112">
        <v>103</v>
      </c>
      <c r="H99" s="112">
        <v>0</v>
      </c>
      <c r="I99" s="112">
        <v>0</v>
      </c>
      <c r="J99" s="6">
        <f t="shared" si="13"/>
        <v>0</v>
      </c>
      <c r="K99" s="6"/>
      <c r="L99" s="112">
        <v>3</v>
      </c>
      <c r="M99" s="6">
        <f t="shared" si="29"/>
        <v>36</v>
      </c>
      <c r="N99" s="112">
        <v>48</v>
      </c>
      <c r="O99" s="112">
        <v>14</v>
      </c>
      <c r="P99" s="6">
        <f>+N99+O99+24</f>
        <v>86</v>
      </c>
      <c r="Q99" s="113">
        <f t="shared" si="50"/>
        <v>0</v>
      </c>
      <c r="R99" s="113">
        <f t="shared" si="50"/>
        <v>0</v>
      </c>
      <c r="S99" s="113">
        <f t="shared" si="50"/>
        <v>0</v>
      </c>
      <c r="T99" s="113">
        <f t="shared" si="50"/>
        <v>0</v>
      </c>
      <c r="U99" s="113">
        <f t="shared" si="50"/>
        <v>0</v>
      </c>
      <c r="V99" s="114">
        <f t="shared" si="3"/>
        <v>0</v>
      </c>
      <c r="W99" s="114">
        <f t="shared" si="4"/>
        <v>0</v>
      </c>
      <c r="X99" s="114">
        <f t="shared" si="5"/>
        <v>0</v>
      </c>
      <c r="Y99" s="114">
        <f t="shared" si="6"/>
        <v>0</v>
      </c>
      <c r="Z99" s="114">
        <f t="shared" si="7"/>
        <v>0</v>
      </c>
      <c r="AA99" s="6"/>
    </row>
    <row r="100" spans="1:27" s="7" customFormat="1" ht="21" customHeight="1" x14ac:dyDescent="0.25">
      <c r="A100" s="11"/>
      <c r="B100" s="6"/>
      <c r="C100" s="7" t="s">
        <v>89</v>
      </c>
      <c r="D100" s="8">
        <v>2</v>
      </c>
      <c r="E100" s="6" t="s">
        <v>84</v>
      </c>
      <c r="F100" s="6" t="s">
        <v>86</v>
      </c>
      <c r="G100" s="112">
        <v>65</v>
      </c>
      <c r="H100" s="112">
        <v>0</v>
      </c>
      <c r="I100" s="112">
        <v>0</v>
      </c>
      <c r="J100" s="6">
        <f t="shared" si="13"/>
        <v>65</v>
      </c>
      <c r="K100" s="6"/>
      <c r="L100" s="110" t="s">
        <v>306</v>
      </c>
      <c r="M100" s="111"/>
      <c r="N100" s="111"/>
      <c r="O100" s="111"/>
      <c r="P100" s="111"/>
      <c r="Q100" s="111"/>
      <c r="R100" s="111"/>
      <c r="S100" s="111"/>
      <c r="T100" s="111"/>
      <c r="U100" s="111"/>
      <c r="V100" s="112">
        <v>0</v>
      </c>
      <c r="W100" s="112">
        <v>0</v>
      </c>
      <c r="X100" s="112">
        <v>25</v>
      </c>
      <c r="Y100" s="112">
        <v>40</v>
      </c>
      <c r="Z100" s="112">
        <v>0</v>
      </c>
      <c r="AA100" s="6"/>
    </row>
    <row r="101" spans="1:27" s="7" customFormat="1" ht="21" customHeight="1" x14ac:dyDescent="0.25">
      <c r="A101" s="11"/>
      <c r="B101" s="6"/>
      <c r="C101" s="7" t="s">
        <v>90</v>
      </c>
      <c r="D101" s="8">
        <v>2</v>
      </c>
      <c r="E101" s="6" t="s">
        <v>84</v>
      </c>
      <c r="F101" s="6" t="s">
        <v>86</v>
      </c>
      <c r="G101" s="112">
        <v>86</v>
      </c>
      <c r="H101" s="112">
        <v>0</v>
      </c>
      <c r="I101" s="112">
        <v>0</v>
      </c>
      <c r="J101" s="6">
        <f t="shared" si="13"/>
        <v>86</v>
      </c>
      <c r="K101" s="6"/>
      <c r="L101" s="112">
        <v>1</v>
      </c>
      <c r="M101" s="6">
        <f t="shared" si="29"/>
        <v>12</v>
      </c>
      <c r="N101" s="112">
        <v>24</v>
      </c>
      <c r="O101" s="112">
        <v>14</v>
      </c>
      <c r="P101" s="6">
        <f t="shared" si="17"/>
        <v>56</v>
      </c>
      <c r="Q101" s="113">
        <f>IFERROR(IF(AND((Q$220-$P101)/$M101&gt;0,(Q$220-$P101)/$M101&lt;1),(Q$220-$P101)/$M101,IF((Q$220-$P101)/$M101&gt;0,1,0)),0)</f>
        <v>0</v>
      </c>
      <c r="R101" s="113">
        <f>IFERROR(IF(AND((R$220-$P101)/$M101&gt;0,(R$220-$P101)/$M101&lt;1),(R$220-$P101)/$M101,IF((R$220-$P101)/$M101&gt;0,1,0)),0)</f>
        <v>0</v>
      </c>
      <c r="S101" s="113">
        <f>IFERROR(IF(AND((S$220-$P101)/$M101&gt;0,(S$220-$P101)/$M101&lt;1),(S$220-$P101)/$M101,IF((S$220-$P101)/$M101&gt;0,1,0)),0)</f>
        <v>0</v>
      </c>
      <c r="T101" s="113">
        <f>IFERROR(IF(AND((T$220-$P101)/$M101&gt;0,(T$220-$P101)/$M101&lt;1),(T$220-$P101)/$M101,IF((T$220-$P101)/$M101&gt;0,1,0)),0)</f>
        <v>0</v>
      </c>
      <c r="U101" s="113">
        <f>IFERROR(IF(AND((U$220-$P101)/$M101&gt;0,(U$220-$P101)/$M101&lt;1),(U$220-$P101)/$M101,IF((U$220-$P101)/$M101&gt;0,1,0)),0)</f>
        <v>0</v>
      </c>
      <c r="V101" s="114">
        <f t="shared" si="3"/>
        <v>0</v>
      </c>
      <c r="W101" s="114">
        <f t="shared" si="4"/>
        <v>0</v>
      </c>
      <c r="X101" s="114">
        <f t="shared" si="5"/>
        <v>0</v>
      </c>
      <c r="Y101" s="114">
        <f t="shared" si="6"/>
        <v>0</v>
      </c>
      <c r="Z101" s="114">
        <f t="shared" si="7"/>
        <v>0</v>
      </c>
      <c r="AA101" s="6"/>
    </row>
    <row r="102" spans="1:27" s="132" customFormat="1" ht="21" customHeight="1" x14ac:dyDescent="0.25">
      <c r="A102" s="11"/>
      <c r="B102" s="6"/>
      <c r="C102" s="132" t="s">
        <v>91</v>
      </c>
      <c r="D102" s="133">
        <v>1</v>
      </c>
      <c r="E102" s="133" t="s">
        <v>84</v>
      </c>
      <c r="F102" s="133" t="s">
        <v>86</v>
      </c>
      <c r="G102" s="184">
        <v>21</v>
      </c>
      <c r="H102" s="133">
        <v>21</v>
      </c>
      <c r="I102" s="133">
        <f t="shared" ref="I102" si="56">+G102-H102</f>
        <v>0</v>
      </c>
      <c r="J102" s="133">
        <f t="shared" si="13"/>
        <v>0</v>
      </c>
      <c r="K102" s="133"/>
      <c r="L102" s="133"/>
      <c r="M102" s="133"/>
      <c r="N102" s="133"/>
      <c r="O102" s="133"/>
      <c r="P102" s="133"/>
      <c r="Q102" s="136"/>
      <c r="R102" s="136"/>
      <c r="S102" s="136"/>
      <c r="T102" s="136"/>
      <c r="U102" s="136"/>
      <c r="V102" s="137"/>
      <c r="W102" s="137"/>
      <c r="X102" s="137"/>
      <c r="Y102" s="137"/>
      <c r="Z102" s="137"/>
      <c r="AA102" s="133"/>
    </row>
    <row r="103" spans="1:27" s="7" customFormat="1" ht="21" customHeight="1" x14ac:dyDescent="0.25">
      <c r="A103" s="11"/>
      <c r="B103" s="6"/>
      <c r="C103" s="7" t="s">
        <v>92</v>
      </c>
      <c r="D103" s="8">
        <v>2</v>
      </c>
      <c r="E103" s="6" t="s">
        <v>84</v>
      </c>
      <c r="F103" s="6" t="s">
        <v>86</v>
      </c>
      <c r="G103" s="112">
        <v>30</v>
      </c>
      <c r="H103" s="112">
        <v>0</v>
      </c>
      <c r="I103" s="112">
        <v>0</v>
      </c>
      <c r="J103" s="6">
        <f t="shared" si="13"/>
        <v>30</v>
      </c>
      <c r="K103" s="6"/>
      <c r="L103" s="112">
        <v>1</v>
      </c>
      <c r="M103" s="6">
        <f t="shared" si="29"/>
        <v>12</v>
      </c>
      <c r="N103" s="112">
        <v>24</v>
      </c>
      <c r="O103" s="112">
        <v>14</v>
      </c>
      <c r="P103" s="6">
        <f t="shared" si="17"/>
        <v>56</v>
      </c>
      <c r="Q103" s="113">
        <f t="shared" ref="Q103:U104" si="57">IFERROR(IF(AND((Q$220-$P103)/$M103&gt;0,(Q$220-$P103)/$M103&lt;1),(Q$220-$P103)/$M103,IF((Q$220-$P103)/$M103&gt;0,1,0)),0)</f>
        <v>0</v>
      </c>
      <c r="R103" s="113">
        <f t="shared" si="57"/>
        <v>0</v>
      </c>
      <c r="S103" s="113">
        <f t="shared" si="57"/>
        <v>0</v>
      </c>
      <c r="T103" s="113">
        <f t="shared" si="57"/>
        <v>0</v>
      </c>
      <c r="U103" s="113">
        <f t="shared" si="57"/>
        <v>0</v>
      </c>
      <c r="V103" s="114">
        <f t="shared" si="3"/>
        <v>0</v>
      </c>
      <c r="W103" s="114">
        <f t="shared" si="4"/>
        <v>0</v>
      </c>
      <c r="X103" s="114">
        <f t="shared" si="5"/>
        <v>0</v>
      </c>
      <c r="Y103" s="114">
        <f t="shared" si="6"/>
        <v>0</v>
      </c>
      <c r="Z103" s="114">
        <f t="shared" si="7"/>
        <v>0</v>
      </c>
      <c r="AA103" s="6"/>
    </row>
    <row r="104" spans="1:27" s="7" customFormat="1" ht="21" customHeight="1" x14ac:dyDescent="0.25">
      <c r="A104" s="11"/>
      <c r="B104" s="6"/>
      <c r="C104" s="365" t="s">
        <v>93</v>
      </c>
      <c r="D104" s="8">
        <v>5</v>
      </c>
      <c r="E104" s="6" t="s">
        <v>84</v>
      </c>
      <c r="F104" s="6" t="s">
        <v>86</v>
      </c>
      <c r="G104" s="112">
        <v>400</v>
      </c>
      <c r="H104" s="112">
        <v>0</v>
      </c>
      <c r="I104" s="112">
        <v>0</v>
      </c>
      <c r="J104" s="6">
        <f t="shared" si="13"/>
        <v>0</v>
      </c>
      <c r="K104" s="6"/>
      <c r="L104" s="112">
        <v>10</v>
      </c>
      <c r="M104" s="6">
        <f t="shared" si="29"/>
        <v>120</v>
      </c>
      <c r="N104" s="112">
        <v>48</v>
      </c>
      <c r="O104" s="112">
        <v>16</v>
      </c>
      <c r="P104" s="6">
        <f>+N104+O104+24</f>
        <v>88</v>
      </c>
      <c r="Q104" s="113">
        <f t="shared" si="57"/>
        <v>0</v>
      </c>
      <c r="R104" s="113">
        <f t="shared" si="57"/>
        <v>0</v>
      </c>
      <c r="S104" s="113">
        <f t="shared" si="57"/>
        <v>0</v>
      </c>
      <c r="T104" s="113">
        <f t="shared" si="57"/>
        <v>0</v>
      </c>
      <c r="U104" s="113">
        <f t="shared" si="57"/>
        <v>0</v>
      </c>
      <c r="V104" s="114">
        <f t="shared" si="3"/>
        <v>0</v>
      </c>
      <c r="W104" s="114">
        <f t="shared" si="4"/>
        <v>0</v>
      </c>
      <c r="X104" s="114">
        <f t="shared" si="5"/>
        <v>0</v>
      </c>
      <c r="Y104" s="114">
        <f t="shared" si="6"/>
        <v>0</v>
      </c>
      <c r="Z104" s="114">
        <f t="shared" si="7"/>
        <v>0</v>
      </c>
      <c r="AA104" s="6"/>
    </row>
    <row r="105" spans="1:27" s="7" customFormat="1" ht="21" customHeight="1" x14ac:dyDescent="0.25">
      <c r="A105" s="11"/>
      <c r="B105" s="6"/>
      <c r="C105" s="7" t="s">
        <v>94</v>
      </c>
      <c r="D105" s="8">
        <v>1</v>
      </c>
      <c r="E105" s="6" t="s">
        <v>84</v>
      </c>
      <c r="F105" s="6" t="s">
        <v>86</v>
      </c>
      <c r="G105" s="112">
        <v>363</v>
      </c>
      <c r="H105" s="112">
        <v>129</v>
      </c>
      <c r="I105" s="112">
        <v>80</v>
      </c>
      <c r="J105" s="6">
        <f t="shared" si="13"/>
        <v>154</v>
      </c>
      <c r="K105" s="6"/>
      <c r="L105" s="110" t="s">
        <v>306</v>
      </c>
      <c r="M105" s="111"/>
      <c r="N105" s="111"/>
      <c r="O105" s="111"/>
      <c r="P105" s="111"/>
      <c r="Q105" s="111"/>
      <c r="R105" s="111"/>
      <c r="S105" s="111"/>
      <c r="T105" s="111"/>
      <c r="U105" s="111"/>
      <c r="V105" s="112">
        <v>40</v>
      </c>
      <c r="W105" s="112">
        <v>40</v>
      </c>
      <c r="X105" s="112">
        <v>42</v>
      </c>
      <c r="Y105" s="112">
        <v>62</v>
      </c>
      <c r="Z105" s="112">
        <v>50</v>
      </c>
      <c r="AA105" s="6"/>
    </row>
    <row r="106" spans="1:27" s="7" customFormat="1" ht="21" customHeight="1" x14ac:dyDescent="0.25">
      <c r="A106" s="11"/>
      <c r="B106" s="6"/>
      <c r="C106" s="365" t="s">
        <v>526</v>
      </c>
      <c r="D106" s="8">
        <v>4</v>
      </c>
      <c r="E106" s="6" t="s">
        <v>84</v>
      </c>
      <c r="F106" s="6" t="s">
        <v>86</v>
      </c>
      <c r="G106" s="112">
        <v>125</v>
      </c>
      <c r="H106" s="112">
        <v>0</v>
      </c>
      <c r="I106" s="112">
        <v>0</v>
      </c>
      <c r="J106" s="6">
        <f t="shared" si="13"/>
        <v>0</v>
      </c>
      <c r="K106" s="6"/>
      <c r="L106" s="112">
        <v>3</v>
      </c>
      <c r="M106" s="6">
        <f t="shared" si="29"/>
        <v>36</v>
      </c>
      <c r="N106" s="112">
        <v>48</v>
      </c>
      <c r="O106" s="112">
        <v>16</v>
      </c>
      <c r="P106" s="6">
        <f>+N106+O106+24</f>
        <v>88</v>
      </c>
      <c r="Q106" s="113">
        <f t="shared" ref="Q106:U115" si="58">IFERROR(IF(AND((Q$220-$P106)/$M106&gt;0,(Q$220-$P106)/$M106&lt;1),(Q$220-$P106)/$M106,IF((Q$220-$P106)/$M106&gt;0,1,0)),0)</f>
        <v>0</v>
      </c>
      <c r="R106" s="113">
        <f t="shared" si="58"/>
        <v>0</v>
      </c>
      <c r="S106" s="113">
        <f t="shared" si="58"/>
        <v>0</v>
      </c>
      <c r="T106" s="113">
        <f t="shared" si="58"/>
        <v>0</v>
      </c>
      <c r="U106" s="113">
        <f t="shared" si="58"/>
        <v>0</v>
      </c>
      <c r="V106" s="114">
        <f t="shared" si="3"/>
        <v>0</v>
      </c>
      <c r="W106" s="114">
        <f t="shared" si="4"/>
        <v>0</v>
      </c>
      <c r="X106" s="114">
        <f t="shared" si="5"/>
        <v>0</v>
      </c>
      <c r="Y106" s="114">
        <f t="shared" si="6"/>
        <v>0</v>
      </c>
      <c r="Z106" s="114">
        <f t="shared" si="7"/>
        <v>0</v>
      </c>
      <c r="AA106" s="6"/>
    </row>
    <row r="107" spans="1:27" s="7" customFormat="1" ht="21" customHeight="1" x14ac:dyDescent="0.25">
      <c r="A107" s="11"/>
      <c r="B107" s="6"/>
      <c r="C107" s="7" t="s">
        <v>95</v>
      </c>
      <c r="D107" s="8">
        <v>2</v>
      </c>
      <c r="E107" s="6" t="s">
        <v>84</v>
      </c>
      <c r="F107" s="6" t="s">
        <v>86</v>
      </c>
      <c r="G107" s="112">
        <v>110</v>
      </c>
      <c r="H107" s="112">
        <v>0</v>
      </c>
      <c r="I107" s="112">
        <v>0</v>
      </c>
      <c r="J107" s="6">
        <f t="shared" si="13"/>
        <v>110</v>
      </c>
      <c r="K107" s="6"/>
      <c r="L107" s="112">
        <v>2.5</v>
      </c>
      <c r="M107" s="6">
        <f t="shared" si="29"/>
        <v>30</v>
      </c>
      <c r="N107" s="112">
        <v>36</v>
      </c>
      <c r="O107" s="112">
        <v>16</v>
      </c>
      <c r="P107" s="6">
        <f>+N107+O107+24</f>
        <v>76</v>
      </c>
      <c r="Q107" s="113">
        <f t="shared" si="58"/>
        <v>0</v>
      </c>
      <c r="R107" s="113">
        <f t="shared" si="58"/>
        <v>0</v>
      </c>
      <c r="S107" s="113">
        <f t="shared" si="58"/>
        <v>0</v>
      </c>
      <c r="T107" s="113">
        <f t="shared" si="58"/>
        <v>0</v>
      </c>
      <c r="U107" s="113">
        <f t="shared" si="58"/>
        <v>0</v>
      </c>
      <c r="V107" s="114">
        <f t="shared" si="3"/>
        <v>0</v>
      </c>
      <c r="W107" s="114">
        <f t="shared" si="4"/>
        <v>0</v>
      </c>
      <c r="X107" s="114">
        <f t="shared" si="5"/>
        <v>0</v>
      </c>
      <c r="Y107" s="114">
        <f t="shared" si="6"/>
        <v>0</v>
      </c>
      <c r="Z107" s="114">
        <f t="shared" si="7"/>
        <v>0</v>
      </c>
      <c r="AA107" s="6"/>
    </row>
    <row r="108" spans="1:27" s="7" customFormat="1" ht="21" customHeight="1" x14ac:dyDescent="0.25">
      <c r="A108" s="11"/>
      <c r="B108" s="6"/>
      <c r="C108" s="365" t="s">
        <v>96</v>
      </c>
      <c r="D108" s="8">
        <v>4</v>
      </c>
      <c r="E108" s="6" t="s">
        <v>84</v>
      </c>
      <c r="F108" s="6" t="s">
        <v>86</v>
      </c>
      <c r="G108" s="112">
        <v>225</v>
      </c>
      <c r="H108" s="112">
        <v>0</v>
      </c>
      <c r="I108" s="112">
        <v>0</v>
      </c>
      <c r="J108" s="6">
        <f t="shared" si="13"/>
        <v>0</v>
      </c>
      <c r="K108" s="6"/>
      <c r="L108" s="112">
        <v>3</v>
      </c>
      <c r="M108" s="6">
        <f t="shared" si="29"/>
        <v>36</v>
      </c>
      <c r="N108" s="112">
        <v>84</v>
      </c>
      <c r="O108" s="112">
        <v>14</v>
      </c>
      <c r="P108" s="6">
        <f>+N108+O108+24</f>
        <v>122</v>
      </c>
      <c r="Q108" s="113">
        <f t="shared" si="58"/>
        <v>0</v>
      </c>
      <c r="R108" s="113">
        <f t="shared" si="58"/>
        <v>0</v>
      </c>
      <c r="S108" s="113">
        <f t="shared" si="58"/>
        <v>0</v>
      </c>
      <c r="T108" s="113">
        <f t="shared" si="58"/>
        <v>0</v>
      </c>
      <c r="U108" s="113">
        <f t="shared" si="58"/>
        <v>0</v>
      </c>
      <c r="V108" s="114">
        <f t="shared" si="3"/>
        <v>0</v>
      </c>
      <c r="W108" s="114">
        <f t="shared" si="4"/>
        <v>0</v>
      </c>
      <c r="X108" s="114">
        <f t="shared" si="5"/>
        <v>0</v>
      </c>
      <c r="Y108" s="114">
        <f t="shared" si="6"/>
        <v>0</v>
      </c>
      <c r="Z108" s="114">
        <f t="shared" si="7"/>
        <v>0</v>
      </c>
      <c r="AA108" s="6"/>
    </row>
    <row r="109" spans="1:27" s="181" customFormat="1" ht="21" customHeight="1" x14ac:dyDescent="0.25">
      <c r="A109" s="173"/>
      <c r="B109" s="129"/>
      <c r="C109" s="174" t="s">
        <v>97</v>
      </c>
      <c r="D109" s="175">
        <v>4</v>
      </c>
      <c r="E109" s="129" t="s">
        <v>84</v>
      </c>
      <c r="F109" s="129" t="s">
        <v>86</v>
      </c>
      <c r="G109" s="112"/>
      <c r="H109" s="112"/>
      <c r="I109" s="112"/>
      <c r="J109" s="6"/>
      <c r="K109" s="129"/>
      <c r="L109" s="178"/>
      <c r="M109" s="129"/>
      <c r="N109" s="178"/>
      <c r="O109" s="178"/>
      <c r="P109" s="129"/>
      <c r="Q109" s="179"/>
      <c r="R109" s="179"/>
      <c r="S109" s="179"/>
      <c r="T109" s="179"/>
      <c r="U109" s="179"/>
      <c r="V109" s="180"/>
      <c r="W109" s="180"/>
      <c r="X109" s="180"/>
      <c r="Y109" s="180"/>
      <c r="Z109" s="180"/>
      <c r="AA109" s="129"/>
    </row>
    <row r="110" spans="1:27" s="181" customFormat="1" ht="21" customHeight="1" x14ac:dyDescent="0.25">
      <c r="A110" s="173"/>
      <c r="B110" s="129"/>
      <c r="C110" s="174" t="s">
        <v>98</v>
      </c>
      <c r="D110" s="175">
        <v>5</v>
      </c>
      <c r="E110" s="129" t="s">
        <v>84</v>
      </c>
      <c r="F110" s="129" t="s">
        <v>86</v>
      </c>
      <c r="G110" s="112"/>
      <c r="H110" s="112"/>
      <c r="I110" s="112"/>
      <c r="J110" s="6"/>
      <c r="K110" s="129"/>
      <c r="L110" s="178"/>
      <c r="M110" s="129"/>
      <c r="N110" s="178"/>
      <c r="O110" s="178"/>
      <c r="P110" s="129"/>
      <c r="Q110" s="179"/>
      <c r="R110" s="179"/>
      <c r="S110" s="179"/>
      <c r="T110" s="179"/>
      <c r="U110" s="179"/>
      <c r="V110" s="180"/>
      <c r="W110" s="180"/>
      <c r="X110" s="180"/>
      <c r="Y110" s="180"/>
      <c r="Z110" s="180"/>
      <c r="AA110" s="129"/>
    </row>
    <row r="111" spans="1:27" s="7" customFormat="1" ht="21" customHeight="1" x14ac:dyDescent="0.25">
      <c r="A111" s="11"/>
      <c r="B111" s="6"/>
      <c r="C111" s="365" t="s">
        <v>99</v>
      </c>
      <c r="D111" s="8">
        <v>4</v>
      </c>
      <c r="E111" s="6" t="s">
        <v>84</v>
      </c>
      <c r="F111" s="6" t="s">
        <v>100</v>
      </c>
      <c r="G111" s="112">
        <v>150</v>
      </c>
      <c r="H111" s="112">
        <v>0</v>
      </c>
      <c r="I111" s="112">
        <v>0</v>
      </c>
      <c r="J111" s="6">
        <f t="shared" si="13"/>
        <v>0</v>
      </c>
      <c r="K111" s="6"/>
      <c r="L111" s="112">
        <v>3</v>
      </c>
      <c r="M111" s="6">
        <f t="shared" si="29"/>
        <v>36</v>
      </c>
      <c r="N111" s="112">
        <v>84</v>
      </c>
      <c r="O111" s="112">
        <v>14</v>
      </c>
      <c r="P111" s="6">
        <f t="shared" ref="P111:P114" si="59">+N111+O111+24</f>
        <v>122</v>
      </c>
      <c r="Q111" s="113">
        <f t="shared" si="58"/>
        <v>0</v>
      </c>
      <c r="R111" s="113">
        <f t="shared" si="58"/>
        <v>0</v>
      </c>
      <c r="S111" s="113">
        <f t="shared" si="58"/>
        <v>0</v>
      </c>
      <c r="T111" s="113">
        <f t="shared" si="58"/>
        <v>0</v>
      </c>
      <c r="U111" s="113">
        <f t="shared" si="58"/>
        <v>0</v>
      </c>
      <c r="V111" s="114">
        <f t="shared" si="3"/>
        <v>0</v>
      </c>
      <c r="W111" s="114">
        <f t="shared" si="4"/>
        <v>0</v>
      </c>
      <c r="X111" s="114">
        <f t="shared" si="5"/>
        <v>0</v>
      </c>
      <c r="Y111" s="114">
        <f t="shared" si="6"/>
        <v>0</v>
      </c>
      <c r="Z111" s="114">
        <f t="shared" si="7"/>
        <v>0</v>
      </c>
      <c r="AA111" s="6"/>
    </row>
    <row r="112" spans="1:27" s="7" customFormat="1" ht="21" customHeight="1" x14ac:dyDescent="0.25">
      <c r="A112" s="11"/>
      <c r="B112" s="6"/>
      <c r="C112" s="365" t="s">
        <v>101</v>
      </c>
      <c r="D112" s="8">
        <v>5</v>
      </c>
      <c r="E112" s="6" t="s">
        <v>84</v>
      </c>
      <c r="F112" s="6" t="s">
        <v>100</v>
      </c>
      <c r="G112" s="112">
        <v>100</v>
      </c>
      <c r="H112" s="112">
        <v>0</v>
      </c>
      <c r="I112" s="112">
        <v>0</v>
      </c>
      <c r="J112" s="6">
        <f t="shared" si="13"/>
        <v>0</v>
      </c>
      <c r="K112" s="6"/>
      <c r="L112" s="112">
        <v>2</v>
      </c>
      <c r="M112" s="6">
        <f t="shared" si="29"/>
        <v>24</v>
      </c>
      <c r="N112" s="112">
        <v>84</v>
      </c>
      <c r="O112" s="112">
        <v>14</v>
      </c>
      <c r="P112" s="6">
        <f t="shared" si="59"/>
        <v>122</v>
      </c>
      <c r="Q112" s="113">
        <f t="shared" si="58"/>
        <v>0</v>
      </c>
      <c r="R112" s="113">
        <f t="shared" si="58"/>
        <v>0</v>
      </c>
      <c r="S112" s="113">
        <f t="shared" si="58"/>
        <v>0</v>
      </c>
      <c r="T112" s="113">
        <f t="shared" si="58"/>
        <v>0</v>
      </c>
      <c r="U112" s="113">
        <f t="shared" si="58"/>
        <v>0</v>
      </c>
      <c r="V112" s="114">
        <f t="shared" si="3"/>
        <v>0</v>
      </c>
      <c r="W112" s="114">
        <f t="shared" si="4"/>
        <v>0</v>
      </c>
      <c r="X112" s="114">
        <f t="shared" si="5"/>
        <v>0</v>
      </c>
      <c r="Y112" s="114">
        <f t="shared" si="6"/>
        <v>0</v>
      </c>
      <c r="Z112" s="114">
        <f t="shared" si="7"/>
        <v>0</v>
      </c>
      <c r="AA112" s="6"/>
    </row>
    <row r="113" spans="1:27" s="7" customFormat="1" ht="21" customHeight="1" x14ac:dyDescent="0.25">
      <c r="A113" s="11"/>
      <c r="B113" s="6"/>
      <c r="C113" s="365" t="s">
        <v>102</v>
      </c>
      <c r="D113" s="8">
        <v>5</v>
      </c>
      <c r="E113" s="6" t="s">
        <v>84</v>
      </c>
      <c r="F113" s="6" t="s">
        <v>103</v>
      </c>
      <c r="G113" s="112">
        <v>100</v>
      </c>
      <c r="H113" s="112">
        <v>0</v>
      </c>
      <c r="I113" s="112">
        <v>0</v>
      </c>
      <c r="J113" s="6">
        <f t="shared" si="13"/>
        <v>0</v>
      </c>
      <c r="K113" s="6"/>
      <c r="L113" s="112">
        <v>4</v>
      </c>
      <c r="M113" s="6">
        <f t="shared" si="29"/>
        <v>48</v>
      </c>
      <c r="N113" s="112">
        <v>48</v>
      </c>
      <c r="O113" s="112">
        <v>14</v>
      </c>
      <c r="P113" s="6">
        <f t="shared" si="59"/>
        <v>86</v>
      </c>
      <c r="Q113" s="113">
        <f t="shared" si="58"/>
        <v>0</v>
      </c>
      <c r="R113" s="113">
        <f t="shared" si="58"/>
        <v>0</v>
      </c>
      <c r="S113" s="113">
        <f t="shared" si="58"/>
        <v>0</v>
      </c>
      <c r="T113" s="113">
        <f t="shared" si="58"/>
        <v>0</v>
      </c>
      <c r="U113" s="113">
        <f t="shared" si="58"/>
        <v>0</v>
      </c>
      <c r="V113" s="114">
        <f t="shared" si="3"/>
        <v>0</v>
      </c>
      <c r="W113" s="114">
        <f t="shared" si="4"/>
        <v>0</v>
      </c>
      <c r="X113" s="114">
        <f t="shared" si="5"/>
        <v>0</v>
      </c>
      <c r="Y113" s="114">
        <f t="shared" si="6"/>
        <v>0</v>
      </c>
      <c r="Z113" s="114">
        <f t="shared" si="7"/>
        <v>0</v>
      </c>
      <c r="AA113" s="6"/>
    </row>
    <row r="114" spans="1:27" s="7" customFormat="1" ht="21" customHeight="1" x14ac:dyDescent="0.25">
      <c r="A114" s="11"/>
      <c r="B114" s="6"/>
      <c r="C114" s="365" t="s">
        <v>104</v>
      </c>
      <c r="D114" s="8">
        <v>4</v>
      </c>
      <c r="E114" s="6" t="s">
        <v>84</v>
      </c>
      <c r="F114" s="6" t="s">
        <v>105</v>
      </c>
      <c r="G114" s="112">
        <f>750-G115</f>
        <v>546</v>
      </c>
      <c r="H114" s="112">
        <v>0</v>
      </c>
      <c r="I114" s="112">
        <v>0</v>
      </c>
      <c r="J114" s="6">
        <f t="shared" si="13"/>
        <v>0</v>
      </c>
      <c r="K114" s="6"/>
      <c r="L114" s="112">
        <v>11</v>
      </c>
      <c r="M114" s="6">
        <f t="shared" si="29"/>
        <v>132</v>
      </c>
      <c r="N114" s="112">
        <v>60</v>
      </c>
      <c r="O114" s="112">
        <v>14</v>
      </c>
      <c r="P114" s="6">
        <f t="shared" si="59"/>
        <v>98</v>
      </c>
      <c r="Q114" s="113">
        <f t="shared" si="58"/>
        <v>0</v>
      </c>
      <c r="R114" s="113">
        <f t="shared" si="58"/>
        <v>0</v>
      </c>
      <c r="S114" s="113">
        <f t="shared" si="58"/>
        <v>0</v>
      </c>
      <c r="T114" s="113">
        <f t="shared" si="58"/>
        <v>0</v>
      </c>
      <c r="U114" s="113">
        <f t="shared" si="58"/>
        <v>0</v>
      </c>
      <c r="V114" s="114">
        <f t="shared" si="3"/>
        <v>0</v>
      </c>
      <c r="W114" s="114">
        <f t="shared" si="4"/>
        <v>0</v>
      </c>
      <c r="X114" s="114">
        <f t="shared" si="5"/>
        <v>0</v>
      </c>
      <c r="Y114" s="114">
        <f t="shared" si="6"/>
        <v>0</v>
      </c>
      <c r="Z114" s="114">
        <f t="shared" si="7"/>
        <v>0</v>
      </c>
      <c r="AA114" s="6"/>
    </row>
    <row r="115" spans="1:27" s="7" customFormat="1" ht="21" customHeight="1" x14ac:dyDescent="0.25">
      <c r="A115" s="11"/>
      <c r="B115" s="6"/>
      <c r="C115" s="7" t="s">
        <v>106</v>
      </c>
      <c r="D115" s="8">
        <v>2</v>
      </c>
      <c r="E115" s="6" t="s">
        <v>84</v>
      </c>
      <c r="F115" s="6" t="s">
        <v>105</v>
      </c>
      <c r="G115" s="112">
        <v>204</v>
      </c>
      <c r="H115" s="112">
        <v>0</v>
      </c>
      <c r="I115" s="112">
        <v>0</v>
      </c>
      <c r="J115" s="6">
        <f t="shared" si="13"/>
        <v>204</v>
      </c>
      <c r="K115" s="6"/>
      <c r="L115" s="112">
        <v>5.3</v>
      </c>
      <c r="M115" s="6">
        <f t="shared" si="29"/>
        <v>63.599999999999994</v>
      </c>
      <c r="N115" s="128">
        <v>-7.7941176470588243</v>
      </c>
      <c r="O115" s="112">
        <v>0</v>
      </c>
      <c r="P115" s="182">
        <f t="shared" ref="P115" si="60">+N115+O115+18</f>
        <v>10.205882352941176</v>
      </c>
      <c r="Q115" s="113">
        <f t="shared" si="58"/>
        <v>0</v>
      </c>
      <c r="R115" s="113">
        <f t="shared" si="58"/>
        <v>0.12254901960784316</v>
      </c>
      <c r="S115" s="113">
        <f t="shared" si="58"/>
        <v>0.31122826489086208</v>
      </c>
      <c r="T115" s="113">
        <f t="shared" si="58"/>
        <v>0.49990751017388096</v>
      </c>
      <c r="U115" s="113">
        <f t="shared" si="58"/>
        <v>0.68858675545689985</v>
      </c>
      <c r="V115" s="114">
        <f t="shared" si="3"/>
        <v>0</v>
      </c>
      <c r="W115" s="114">
        <f t="shared" si="4"/>
        <v>25.000000000000004</v>
      </c>
      <c r="X115" s="114">
        <f t="shared" si="5"/>
        <v>38.49056603773586</v>
      </c>
      <c r="Y115" s="114">
        <f t="shared" si="6"/>
        <v>38.49056603773586</v>
      </c>
      <c r="Z115" s="114">
        <f t="shared" si="7"/>
        <v>38.490566037735846</v>
      </c>
      <c r="AA115" s="6"/>
    </row>
    <row r="116" spans="1:27" s="7" customFormat="1" ht="21" customHeight="1" x14ac:dyDescent="0.25">
      <c r="A116" s="11"/>
      <c r="B116" s="6"/>
      <c r="C116" s="7" t="s">
        <v>107</v>
      </c>
      <c r="D116" s="8">
        <v>1</v>
      </c>
      <c r="E116" s="6" t="s">
        <v>84</v>
      </c>
      <c r="F116" s="6" t="s">
        <v>100</v>
      </c>
      <c r="G116" s="112">
        <v>349</v>
      </c>
      <c r="H116" s="112">
        <v>0</v>
      </c>
      <c r="I116" s="112">
        <v>74</v>
      </c>
      <c r="J116" s="6">
        <f t="shared" si="13"/>
        <v>275</v>
      </c>
      <c r="K116" s="6"/>
      <c r="L116" s="110" t="s">
        <v>306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2">
        <v>0</v>
      </c>
      <c r="W116" s="112">
        <v>71</v>
      </c>
      <c r="X116" s="112">
        <v>71</v>
      </c>
      <c r="Y116" s="112">
        <v>30</v>
      </c>
      <c r="Z116" s="112">
        <v>38</v>
      </c>
      <c r="AA116" s="6"/>
    </row>
    <row r="117" spans="1:27" s="7" customFormat="1" ht="21" customHeight="1" x14ac:dyDescent="0.25">
      <c r="A117" s="126"/>
      <c r="B117" s="6"/>
      <c r="C117" s="7" t="s">
        <v>108</v>
      </c>
      <c r="D117" s="8">
        <v>1</v>
      </c>
      <c r="E117" s="6" t="s">
        <v>84</v>
      </c>
      <c r="F117" s="6" t="s">
        <v>103</v>
      </c>
      <c r="G117" s="112">
        <v>776</v>
      </c>
      <c r="H117" s="112">
        <f>73+40</f>
        <v>113</v>
      </c>
      <c r="I117" s="112">
        <f>47+77+62</f>
        <v>186</v>
      </c>
      <c r="J117" s="6">
        <f>+IF(D117=1,(G117-H117-I117),IF(D117=2,(G117-H117-I117),0))</f>
        <v>477</v>
      </c>
      <c r="K117" s="6"/>
      <c r="L117" s="110" t="s">
        <v>306</v>
      </c>
      <c r="M117" s="111"/>
      <c r="N117" s="111"/>
      <c r="O117" s="111"/>
      <c r="P117" s="111"/>
      <c r="Q117" s="111"/>
      <c r="R117" s="111"/>
      <c r="S117" s="111"/>
      <c r="T117" s="111"/>
      <c r="U117" s="111"/>
      <c r="V117" s="112">
        <v>47</v>
      </c>
      <c r="W117" s="112">
        <f>26+16</f>
        <v>42</v>
      </c>
      <c r="X117" s="112">
        <f>30</f>
        <v>30</v>
      </c>
      <c r="Y117" s="112">
        <v>51</v>
      </c>
      <c r="Z117" s="112">
        <v>30</v>
      </c>
      <c r="AA117" s="6"/>
    </row>
    <row r="118" spans="1:27" s="7" customFormat="1" ht="21" customHeight="1" x14ac:dyDescent="0.25">
      <c r="A118" s="126"/>
      <c r="B118" s="6"/>
      <c r="C118" s="7" t="s">
        <v>109</v>
      </c>
      <c r="D118" s="8">
        <v>3</v>
      </c>
      <c r="E118" s="6" t="s">
        <v>84</v>
      </c>
      <c r="F118" s="6" t="s">
        <v>103</v>
      </c>
      <c r="G118" s="112">
        <v>300</v>
      </c>
      <c r="H118" s="112">
        <v>0</v>
      </c>
      <c r="I118" s="112">
        <v>0</v>
      </c>
      <c r="J118" s="6">
        <f t="shared" si="13"/>
        <v>0</v>
      </c>
      <c r="K118" s="6"/>
      <c r="L118" s="112">
        <v>6</v>
      </c>
      <c r="M118" s="6">
        <f t="shared" si="29"/>
        <v>72</v>
      </c>
      <c r="N118" s="112">
        <v>36</v>
      </c>
      <c r="O118" s="112">
        <v>14</v>
      </c>
      <c r="P118" s="6">
        <f t="shared" ref="P118:P181" si="61">+N118+O118+18</f>
        <v>68</v>
      </c>
      <c r="Q118" s="113">
        <f t="shared" ref="Q118:U121" si="62">IFERROR(IF(AND((Q$220-$P118)/$M118&gt;0,(Q$220-$P118)/$M118&lt;1),(Q$220-$P118)/$M118,IF((Q$220-$P118)/$M118&gt;0,1,0)),0)</f>
        <v>0</v>
      </c>
      <c r="R118" s="113">
        <f t="shared" si="62"/>
        <v>0</v>
      </c>
      <c r="S118" s="113">
        <f t="shared" si="62"/>
        <v>0</v>
      </c>
      <c r="T118" s="113">
        <f t="shared" si="62"/>
        <v>0</v>
      </c>
      <c r="U118" s="113">
        <f t="shared" si="62"/>
        <v>0</v>
      </c>
      <c r="V118" s="114">
        <f t="shared" ref="V118:V181" si="63">Q118*($G118-$H118)</f>
        <v>0</v>
      </c>
      <c r="W118" s="114">
        <f t="shared" ref="W118:W181" si="64">R118*($G118-$H118)-V118</f>
        <v>0</v>
      </c>
      <c r="X118" s="114">
        <f t="shared" ref="X118:X156" si="65">S118*($G118-$H118)-SUM(V118:W118)</f>
        <v>0</v>
      </c>
      <c r="Y118" s="114">
        <f t="shared" ref="Y118:Y156" si="66">T118*($G118-$H118)-SUM(V118:X118)</f>
        <v>0</v>
      </c>
      <c r="Z118" s="114">
        <f t="shared" ref="Z118:Z181" si="67">U118*($G118-$H118)-SUM(V118:Y118)</f>
        <v>0</v>
      </c>
      <c r="AA118" s="6"/>
    </row>
    <row r="119" spans="1:27" s="7" customFormat="1" ht="21" customHeight="1" x14ac:dyDescent="0.25">
      <c r="A119" s="11"/>
      <c r="B119" s="6"/>
      <c r="C119" s="365" t="s">
        <v>110</v>
      </c>
      <c r="D119" s="8">
        <v>4</v>
      </c>
      <c r="E119" s="6" t="s">
        <v>84</v>
      </c>
      <c r="F119" s="6" t="s">
        <v>103</v>
      </c>
      <c r="G119" s="112">
        <v>300</v>
      </c>
      <c r="H119" s="112">
        <v>0</v>
      </c>
      <c r="I119" s="112">
        <v>0</v>
      </c>
      <c r="J119" s="6">
        <f t="shared" si="13"/>
        <v>0</v>
      </c>
      <c r="K119" s="6"/>
      <c r="L119" s="112">
        <v>6</v>
      </c>
      <c r="M119" s="6">
        <f t="shared" si="29"/>
        <v>72</v>
      </c>
      <c r="N119" s="112">
        <v>36</v>
      </c>
      <c r="O119" s="112">
        <v>14</v>
      </c>
      <c r="P119" s="6">
        <f t="shared" si="61"/>
        <v>68</v>
      </c>
      <c r="Q119" s="113">
        <f t="shared" si="62"/>
        <v>0</v>
      </c>
      <c r="R119" s="113">
        <f t="shared" si="62"/>
        <v>0</v>
      </c>
      <c r="S119" s="113">
        <f t="shared" si="62"/>
        <v>0</v>
      </c>
      <c r="T119" s="113">
        <f t="shared" si="62"/>
        <v>0</v>
      </c>
      <c r="U119" s="113">
        <f t="shared" si="62"/>
        <v>0</v>
      </c>
      <c r="V119" s="114">
        <f t="shared" si="63"/>
        <v>0</v>
      </c>
      <c r="W119" s="114">
        <f t="shared" si="64"/>
        <v>0</v>
      </c>
      <c r="X119" s="114">
        <f t="shared" si="65"/>
        <v>0</v>
      </c>
      <c r="Y119" s="114">
        <f t="shared" si="66"/>
        <v>0</v>
      </c>
      <c r="Z119" s="114">
        <f t="shared" si="67"/>
        <v>0</v>
      </c>
      <c r="AA119" s="6"/>
    </row>
    <row r="120" spans="1:27" s="7" customFormat="1" ht="21" customHeight="1" x14ac:dyDescent="0.25">
      <c r="A120" s="11"/>
      <c r="B120" s="6"/>
      <c r="C120" s="365" t="s">
        <v>111</v>
      </c>
      <c r="D120" s="8">
        <v>4</v>
      </c>
      <c r="E120" s="6" t="s">
        <v>84</v>
      </c>
      <c r="F120" s="6" t="s">
        <v>103</v>
      </c>
      <c r="G120" s="112">
        <v>144</v>
      </c>
      <c r="H120" s="112">
        <v>0</v>
      </c>
      <c r="I120" s="112">
        <v>0</v>
      </c>
      <c r="J120" s="6">
        <f t="shared" si="13"/>
        <v>0</v>
      </c>
      <c r="K120" s="6"/>
      <c r="L120" s="112">
        <v>4</v>
      </c>
      <c r="M120" s="6">
        <f t="shared" si="29"/>
        <v>48</v>
      </c>
      <c r="N120" s="112">
        <v>60</v>
      </c>
      <c r="O120" s="112">
        <v>16</v>
      </c>
      <c r="P120" s="6">
        <f t="shared" si="61"/>
        <v>94</v>
      </c>
      <c r="Q120" s="113">
        <f t="shared" si="62"/>
        <v>0</v>
      </c>
      <c r="R120" s="113">
        <f t="shared" si="62"/>
        <v>0</v>
      </c>
      <c r="S120" s="113">
        <f t="shared" si="62"/>
        <v>0</v>
      </c>
      <c r="T120" s="113">
        <f t="shared" si="62"/>
        <v>0</v>
      </c>
      <c r="U120" s="113">
        <f t="shared" si="62"/>
        <v>0</v>
      </c>
      <c r="V120" s="114">
        <f t="shared" si="63"/>
        <v>0</v>
      </c>
      <c r="W120" s="114">
        <f t="shared" si="64"/>
        <v>0</v>
      </c>
      <c r="X120" s="114">
        <f t="shared" si="65"/>
        <v>0</v>
      </c>
      <c r="Y120" s="114">
        <f t="shared" si="66"/>
        <v>0</v>
      </c>
      <c r="Z120" s="114">
        <f t="shared" si="67"/>
        <v>0</v>
      </c>
      <c r="AA120" s="6"/>
    </row>
    <row r="121" spans="1:27" s="7" customFormat="1" ht="21" customHeight="1" x14ac:dyDescent="0.25">
      <c r="A121" s="11"/>
      <c r="B121" s="6"/>
      <c r="C121" s="365" t="s">
        <v>112</v>
      </c>
      <c r="D121" s="8">
        <v>5</v>
      </c>
      <c r="E121" s="6" t="s">
        <v>84</v>
      </c>
      <c r="F121" s="6" t="s">
        <v>100</v>
      </c>
      <c r="G121" s="112">
        <v>50</v>
      </c>
      <c r="H121" s="112">
        <v>0</v>
      </c>
      <c r="I121" s="112">
        <v>0</v>
      </c>
      <c r="J121" s="6">
        <f t="shared" si="13"/>
        <v>0</v>
      </c>
      <c r="K121" s="6"/>
      <c r="L121" s="112">
        <v>2</v>
      </c>
      <c r="M121" s="6">
        <f t="shared" si="29"/>
        <v>24</v>
      </c>
      <c r="N121" s="112">
        <v>84</v>
      </c>
      <c r="O121" s="112">
        <v>14</v>
      </c>
      <c r="P121" s="6">
        <f t="shared" si="61"/>
        <v>116</v>
      </c>
      <c r="Q121" s="113">
        <f t="shared" si="62"/>
        <v>0</v>
      </c>
      <c r="R121" s="113">
        <f t="shared" si="62"/>
        <v>0</v>
      </c>
      <c r="S121" s="113">
        <f t="shared" si="62"/>
        <v>0</v>
      </c>
      <c r="T121" s="113">
        <f t="shared" si="62"/>
        <v>0</v>
      </c>
      <c r="U121" s="113">
        <f t="shared" si="62"/>
        <v>0</v>
      </c>
      <c r="V121" s="114">
        <f t="shared" si="63"/>
        <v>0</v>
      </c>
      <c r="W121" s="114">
        <f t="shared" si="64"/>
        <v>0</v>
      </c>
      <c r="X121" s="114">
        <f t="shared" si="65"/>
        <v>0</v>
      </c>
      <c r="Y121" s="114">
        <f t="shared" si="66"/>
        <v>0</v>
      </c>
      <c r="Z121" s="114">
        <f t="shared" si="67"/>
        <v>0</v>
      </c>
      <c r="AA121" s="6"/>
    </row>
    <row r="122" spans="1:27" s="181" customFormat="1" ht="21" customHeight="1" x14ac:dyDescent="0.25">
      <c r="A122" s="173"/>
      <c r="B122" s="129"/>
      <c r="C122" s="174" t="s">
        <v>113</v>
      </c>
      <c r="D122" s="175">
        <v>1</v>
      </c>
      <c r="E122" s="129" t="s">
        <v>84</v>
      </c>
      <c r="F122" s="129" t="s">
        <v>100</v>
      </c>
      <c r="G122" s="176"/>
      <c r="H122" s="176"/>
      <c r="I122" s="176"/>
      <c r="J122" s="177"/>
      <c r="K122" s="129"/>
      <c r="L122" s="178"/>
      <c r="M122" s="129"/>
      <c r="N122" s="178"/>
      <c r="O122" s="178"/>
      <c r="P122" s="129"/>
      <c r="Q122" s="179"/>
      <c r="R122" s="179"/>
      <c r="S122" s="179"/>
      <c r="T122" s="179"/>
      <c r="U122" s="179"/>
      <c r="V122" s="180"/>
      <c r="W122" s="180"/>
      <c r="X122" s="180"/>
      <c r="Y122" s="180"/>
      <c r="Z122" s="180"/>
      <c r="AA122" s="129"/>
    </row>
    <row r="123" spans="1:27" s="181" customFormat="1" ht="21" customHeight="1" x14ac:dyDescent="0.25">
      <c r="A123" s="173"/>
      <c r="B123" s="129"/>
      <c r="C123" s="174" t="s">
        <v>114</v>
      </c>
      <c r="D123" s="175">
        <v>4</v>
      </c>
      <c r="E123" s="129" t="s">
        <v>84</v>
      </c>
      <c r="F123" s="129" t="s">
        <v>100</v>
      </c>
      <c r="G123" s="176"/>
      <c r="H123" s="176"/>
      <c r="I123" s="176"/>
      <c r="J123" s="177"/>
      <c r="K123" s="129"/>
      <c r="L123" s="178"/>
      <c r="M123" s="129"/>
      <c r="N123" s="178"/>
      <c r="O123" s="178"/>
      <c r="P123" s="129"/>
      <c r="Q123" s="179"/>
      <c r="R123" s="179"/>
      <c r="S123" s="179"/>
      <c r="T123" s="179"/>
      <c r="U123" s="179"/>
      <c r="V123" s="180"/>
      <c r="W123" s="180"/>
      <c r="X123" s="180"/>
      <c r="Y123" s="180"/>
      <c r="Z123" s="180"/>
      <c r="AA123" s="129"/>
    </row>
    <row r="124" spans="1:27" s="7" customFormat="1" ht="21" customHeight="1" x14ac:dyDescent="0.25">
      <c r="A124" s="11"/>
      <c r="B124" s="6"/>
      <c r="C124" s="365" t="s">
        <v>115</v>
      </c>
      <c r="D124" s="8">
        <v>4</v>
      </c>
      <c r="E124" s="6" t="s">
        <v>116</v>
      </c>
      <c r="F124" s="6" t="s">
        <v>117</v>
      </c>
      <c r="G124" s="112">
        <f>1000-G125</f>
        <v>650</v>
      </c>
      <c r="H124" s="112">
        <v>0</v>
      </c>
      <c r="I124" s="112">
        <v>0</v>
      </c>
      <c r="J124" s="6">
        <f t="shared" si="13"/>
        <v>0</v>
      </c>
      <c r="K124" s="6"/>
      <c r="L124" s="112">
        <v>6</v>
      </c>
      <c r="M124" s="6">
        <f t="shared" si="29"/>
        <v>72</v>
      </c>
      <c r="N124" s="112">
        <v>60</v>
      </c>
      <c r="O124" s="112">
        <v>16</v>
      </c>
      <c r="P124" s="6">
        <f t="shared" si="61"/>
        <v>94</v>
      </c>
      <c r="Q124" s="113">
        <f t="shared" ref="Q124:U125" si="68">IFERROR(IF(AND((Q$220-$P124)/$M124&gt;0,(Q$220-$P124)/$M124&lt;1),(Q$220-$P124)/$M124,IF((Q$220-$P124)/$M124&gt;0,1,0)),0)</f>
        <v>0</v>
      </c>
      <c r="R124" s="113">
        <f t="shared" si="68"/>
        <v>0</v>
      </c>
      <c r="S124" s="113">
        <f t="shared" si="68"/>
        <v>0</v>
      </c>
      <c r="T124" s="113">
        <f t="shared" si="68"/>
        <v>0</v>
      </c>
      <c r="U124" s="113">
        <f t="shared" si="68"/>
        <v>0</v>
      </c>
      <c r="V124" s="114">
        <f t="shared" si="63"/>
        <v>0</v>
      </c>
      <c r="W124" s="114">
        <f t="shared" si="64"/>
        <v>0</v>
      </c>
      <c r="X124" s="114">
        <f t="shared" si="65"/>
        <v>0</v>
      </c>
      <c r="Y124" s="114">
        <f t="shared" si="66"/>
        <v>0</v>
      </c>
      <c r="Z124" s="114">
        <f t="shared" si="67"/>
        <v>0</v>
      </c>
      <c r="AA124" s="6"/>
    </row>
    <row r="125" spans="1:27" s="7" customFormat="1" ht="21" customHeight="1" x14ac:dyDescent="0.25">
      <c r="A125" s="11"/>
      <c r="B125" s="6"/>
      <c r="C125" s="7" t="s">
        <v>118</v>
      </c>
      <c r="D125" s="8">
        <v>3</v>
      </c>
      <c r="E125" s="6" t="s">
        <v>116</v>
      </c>
      <c r="F125" s="6" t="s">
        <v>117</v>
      </c>
      <c r="G125" s="112">
        <v>350</v>
      </c>
      <c r="H125" s="112">
        <v>0</v>
      </c>
      <c r="I125" s="112">
        <v>0</v>
      </c>
      <c r="J125" s="6">
        <f t="shared" ref="J125:J201" si="69">+IF(D125=1,(G125-H125-I125),IF(D125=2,(G125-H125-I125),0))</f>
        <v>0</v>
      </c>
      <c r="K125" s="6"/>
      <c r="L125" s="112">
        <v>4</v>
      </c>
      <c r="M125" s="6">
        <f t="shared" si="29"/>
        <v>48</v>
      </c>
      <c r="N125" s="112">
        <v>3.6</v>
      </c>
      <c r="O125" s="112">
        <v>16</v>
      </c>
      <c r="P125" s="6">
        <f t="shared" si="61"/>
        <v>37.6</v>
      </c>
      <c r="Q125" s="113">
        <f t="shared" si="68"/>
        <v>0</v>
      </c>
      <c r="R125" s="113">
        <f t="shared" si="68"/>
        <v>0</v>
      </c>
      <c r="S125" s="113">
        <f t="shared" si="68"/>
        <v>0</v>
      </c>
      <c r="T125" s="113">
        <f t="shared" si="68"/>
        <v>9.1666666666666632E-2</v>
      </c>
      <c r="U125" s="113">
        <f t="shared" si="68"/>
        <v>0.34166666666666662</v>
      </c>
      <c r="V125" s="114">
        <f t="shared" si="63"/>
        <v>0</v>
      </c>
      <c r="W125" s="114">
        <f t="shared" si="64"/>
        <v>0</v>
      </c>
      <c r="X125" s="114">
        <f t="shared" si="65"/>
        <v>0</v>
      </c>
      <c r="Y125" s="114">
        <f t="shared" si="66"/>
        <v>32.083333333333321</v>
      </c>
      <c r="Z125" s="114">
        <f t="shared" si="67"/>
        <v>87.5</v>
      </c>
      <c r="AA125" s="6"/>
    </row>
    <row r="126" spans="1:27" s="132" customFormat="1" ht="21" customHeight="1" x14ac:dyDescent="0.25">
      <c r="A126" s="11"/>
      <c r="B126" s="6"/>
      <c r="C126" s="132" t="s">
        <v>119</v>
      </c>
      <c r="D126" s="133">
        <v>1</v>
      </c>
      <c r="E126" s="133" t="s">
        <v>116</v>
      </c>
      <c r="F126" s="133" t="s">
        <v>120</v>
      </c>
      <c r="G126" s="135">
        <v>330</v>
      </c>
      <c r="H126" s="135">
        <v>330</v>
      </c>
      <c r="I126" s="133">
        <f t="shared" ref="I126:I131" si="70">+G126-H126</f>
        <v>0</v>
      </c>
      <c r="J126" s="133">
        <f t="shared" si="69"/>
        <v>0</v>
      </c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7"/>
      <c r="W126" s="137"/>
      <c r="X126" s="137"/>
      <c r="Y126" s="137"/>
      <c r="Z126" s="137"/>
      <c r="AA126" s="133"/>
    </row>
    <row r="127" spans="1:27" s="132" customFormat="1" ht="21" customHeight="1" x14ac:dyDescent="0.25">
      <c r="A127" s="11"/>
      <c r="B127" s="6"/>
      <c r="C127" s="132" t="s">
        <v>121</v>
      </c>
      <c r="D127" s="133">
        <v>1</v>
      </c>
      <c r="E127" s="133" t="s">
        <v>116</v>
      </c>
      <c r="F127" s="133" t="s">
        <v>120</v>
      </c>
      <c r="G127" s="135">
        <v>141</v>
      </c>
      <c r="H127" s="135">
        <v>141</v>
      </c>
      <c r="I127" s="133">
        <f t="shared" si="70"/>
        <v>0</v>
      </c>
      <c r="J127" s="133">
        <f t="shared" si="69"/>
        <v>0</v>
      </c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7"/>
      <c r="W127" s="137"/>
      <c r="X127" s="137"/>
      <c r="Y127" s="137"/>
      <c r="Z127" s="137"/>
      <c r="AA127" s="133"/>
    </row>
    <row r="128" spans="1:27" s="7" customFormat="1" ht="21" customHeight="1" x14ac:dyDescent="0.25">
      <c r="A128" s="11"/>
      <c r="B128" s="6"/>
      <c r="C128" s="7" t="s">
        <v>122</v>
      </c>
      <c r="D128" s="8">
        <v>1</v>
      </c>
      <c r="E128" s="6" t="s">
        <v>116</v>
      </c>
      <c r="F128" s="6" t="s">
        <v>120</v>
      </c>
      <c r="G128" s="112">
        <v>180</v>
      </c>
      <c r="H128" s="112">
        <v>99</v>
      </c>
      <c r="I128" s="112">
        <v>0</v>
      </c>
      <c r="J128" s="6">
        <f t="shared" si="69"/>
        <v>81</v>
      </c>
      <c r="K128" s="6"/>
      <c r="L128" s="110" t="s">
        <v>306</v>
      </c>
      <c r="M128" s="111"/>
      <c r="N128" s="111"/>
      <c r="O128" s="111"/>
      <c r="P128" s="111"/>
      <c r="Q128" s="111"/>
      <c r="R128" s="111"/>
      <c r="S128" s="111"/>
      <c r="T128" s="111"/>
      <c r="U128" s="111"/>
      <c r="V128" s="112">
        <v>0</v>
      </c>
      <c r="W128" s="112">
        <v>0</v>
      </c>
      <c r="X128" s="112">
        <v>0</v>
      </c>
      <c r="Y128" s="112">
        <v>40</v>
      </c>
      <c r="Z128" s="112">
        <v>41</v>
      </c>
      <c r="AA128" s="6"/>
    </row>
    <row r="129" spans="1:27" s="7" customFormat="1" ht="21" customHeight="1" x14ac:dyDescent="0.25">
      <c r="A129" s="11"/>
      <c r="B129" s="6"/>
      <c r="C129" s="7" t="s">
        <v>123</v>
      </c>
      <c r="D129" s="8">
        <v>1</v>
      </c>
      <c r="E129" s="6" t="s">
        <v>116</v>
      </c>
      <c r="F129" s="6" t="s">
        <v>120</v>
      </c>
      <c r="G129" s="112">
        <v>69</v>
      </c>
      <c r="H129" s="112">
        <v>0</v>
      </c>
      <c r="I129" s="112">
        <v>69</v>
      </c>
      <c r="J129" s="6">
        <f t="shared" si="69"/>
        <v>0</v>
      </c>
      <c r="K129" s="6"/>
      <c r="L129" s="110" t="s">
        <v>306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2">
        <v>0</v>
      </c>
      <c r="W129" s="112">
        <v>39</v>
      </c>
      <c r="X129" s="112">
        <v>30</v>
      </c>
      <c r="Y129" s="112">
        <v>0</v>
      </c>
      <c r="Z129" s="112">
        <v>0</v>
      </c>
      <c r="AA129" s="6"/>
    </row>
    <row r="130" spans="1:27" s="7" customFormat="1" ht="21" customHeight="1" x14ac:dyDescent="0.25">
      <c r="A130" s="11"/>
      <c r="B130" s="6"/>
      <c r="C130" s="7" t="s">
        <v>124</v>
      </c>
      <c r="D130" s="8">
        <v>1</v>
      </c>
      <c r="E130" s="6" t="s">
        <v>116</v>
      </c>
      <c r="F130" s="6" t="s">
        <v>120</v>
      </c>
      <c r="G130" s="112">
        <v>12</v>
      </c>
      <c r="H130" s="112">
        <v>0</v>
      </c>
      <c r="I130" s="112">
        <v>12</v>
      </c>
      <c r="J130" s="6">
        <f t="shared" si="69"/>
        <v>0</v>
      </c>
      <c r="K130" s="6"/>
      <c r="L130" s="110" t="s">
        <v>306</v>
      </c>
      <c r="M130" s="111"/>
      <c r="N130" s="111"/>
      <c r="O130" s="111"/>
      <c r="P130" s="111"/>
      <c r="Q130" s="111"/>
      <c r="R130" s="111"/>
      <c r="S130" s="111"/>
      <c r="T130" s="111"/>
      <c r="U130" s="111"/>
      <c r="V130" s="112">
        <v>12</v>
      </c>
      <c r="W130" s="112">
        <v>0</v>
      </c>
      <c r="X130" s="112">
        <v>0</v>
      </c>
      <c r="Y130" s="112">
        <v>0</v>
      </c>
      <c r="Z130" s="112">
        <v>0</v>
      </c>
      <c r="AA130" s="6"/>
    </row>
    <row r="131" spans="1:27" s="132" customFormat="1" ht="21" customHeight="1" x14ac:dyDescent="0.25">
      <c r="A131" s="11"/>
      <c r="B131" s="6"/>
      <c r="C131" s="132" t="s">
        <v>125</v>
      </c>
      <c r="D131" s="133">
        <v>1</v>
      </c>
      <c r="E131" s="133" t="s">
        <v>116</v>
      </c>
      <c r="F131" s="133" t="s">
        <v>120</v>
      </c>
      <c r="G131" s="135">
        <v>20</v>
      </c>
      <c r="H131" s="135">
        <v>20</v>
      </c>
      <c r="I131" s="133">
        <f t="shared" si="70"/>
        <v>0</v>
      </c>
      <c r="J131" s="133">
        <f t="shared" si="69"/>
        <v>0</v>
      </c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7"/>
      <c r="W131" s="137"/>
      <c r="X131" s="137"/>
      <c r="Y131" s="137"/>
      <c r="Z131" s="137"/>
      <c r="AA131" s="133"/>
    </row>
    <row r="132" spans="1:27" s="132" customFormat="1" ht="21" customHeight="1" x14ac:dyDescent="0.25">
      <c r="A132" s="11"/>
      <c r="B132" s="6"/>
      <c r="C132" s="132" t="s">
        <v>126</v>
      </c>
      <c r="D132" s="133">
        <v>1</v>
      </c>
      <c r="E132" s="133" t="s">
        <v>116</v>
      </c>
      <c r="F132" s="133" t="s">
        <v>117</v>
      </c>
      <c r="G132" s="135">
        <v>290</v>
      </c>
      <c r="H132" s="135">
        <v>290</v>
      </c>
      <c r="I132" s="133">
        <v>0</v>
      </c>
      <c r="J132" s="133">
        <v>0</v>
      </c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7"/>
      <c r="W132" s="137"/>
      <c r="X132" s="137"/>
      <c r="Y132" s="137"/>
      <c r="Z132" s="137"/>
      <c r="AA132" s="133"/>
    </row>
    <row r="133" spans="1:27" s="7" customFormat="1" ht="21" customHeight="1" x14ac:dyDescent="0.25">
      <c r="A133" s="11"/>
      <c r="B133" s="6"/>
      <c r="C133" s="365" t="s">
        <v>127</v>
      </c>
      <c r="D133" s="8">
        <v>5</v>
      </c>
      <c r="E133" s="6" t="s">
        <v>116</v>
      </c>
      <c r="F133" s="6" t="s">
        <v>105</v>
      </c>
      <c r="G133" s="112">
        <v>20</v>
      </c>
      <c r="H133" s="112">
        <v>0</v>
      </c>
      <c r="I133" s="112">
        <v>0</v>
      </c>
      <c r="J133" s="6">
        <f t="shared" si="69"/>
        <v>0</v>
      </c>
      <c r="K133" s="6"/>
      <c r="L133" s="112">
        <v>0.5</v>
      </c>
      <c r="M133" s="6">
        <f t="shared" ref="M133:M201" si="71">+L133*12</f>
        <v>6</v>
      </c>
      <c r="N133" s="112">
        <v>60</v>
      </c>
      <c r="O133" s="112">
        <v>14</v>
      </c>
      <c r="P133" s="6">
        <f t="shared" ref="P133:P134" si="72">+N133+O133+18</f>
        <v>92</v>
      </c>
      <c r="Q133" s="113">
        <f t="shared" ref="Q133:U136" si="73">IFERROR(IF(AND((Q$220-$P133)/$M133&gt;0,(Q$220-$P133)/$M133&lt;1),(Q$220-$P133)/$M133,IF((Q$220-$P133)/$M133&gt;0,1,0)),0)</f>
        <v>0</v>
      </c>
      <c r="R133" s="113">
        <f t="shared" si="73"/>
        <v>0</v>
      </c>
      <c r="S133" s="113">
        <f t="shared" si="73"/>
        <v>0</v>
      </c>
      <c r="T133" s="113">
        <f t="shared" si="73"/>
        <v>0</v>
      </c>
      <c r="U133" s="113">
        <f t="shared" si="73"/>
        <v>0</v>
      </c>
      <c r="V133" s="114">
        <f t="shared" si="63"/>
        <v>0</v>
      </c>
      <c r="W133" s="114">
        <f t="shared" si="64"/>
        <v>0</v>
      </c>
      <c r="X133" s="114">
        <f t="shared" si="65"/>
        <v>0</v>
      </c>
      <c r="Y133" s="114">
        <f t="shared" si="66"/>
        <v>0</v>
      </c>
      <c r="Z133" s="114">
        <f t="shared" si="67"/>
        <v>0</v>
      </c>
      <c r="AA133" s="6"/>
    </row>
    <row r="134" spans="1:27" s="7" customFormat="1" ht="21" customHeight="1" x14ac:dyDescent="0.25">
      <c r="A134" s="11"/>
      <c r="B134" s="6"/>
      <c r="C134" s="365" t="s">
        <v>128</v>
      </c>
      <c r="D134" s="8">
        <v>4</v>
      </c>
      <c r="E134" s="6" t="s">
        <v>116</v>
      </c>
      <c r="F134" s="6" t="s">
        <v>120</v>
      </c>
      <c r="G134" s="112">
        <v>225</v>
      </c>
      <c r="H134" s="112">
        <v>0</v>
      </c>
      <c r="I134" s="112">
        <v>0</v>
      </c>
      <c r="J134" s="6">
        <f t="shared" si="69"/>
        <v>0</v>
      </c>
      <c r="K134" s="6"/>
      <c r="L134" s="112">
        <v>5</v>
      </c>
      <c r="M134" s="6">
        <f t="shared" si="71"/>
        <v>60</v>
      </c>
      <c r="N134" s="112">
        <v>84</v>
      </c>
      <c r="O134" s="112">
        <v>14</v>
      </c>
      <c r="P134" s="6">
        <f t="shared" si="72"/>
        <v>116</v>
      </c>
      <c r="Q134" s="113">
        <f t="shared" si="73"/>
        <v>0</v>
      </c>
      <c r="R134" s="113">
        <f t="shared" si="73"/>
        <v>0</v>
      </c>
      <c r="S134" s="113">
        <f t="shared" si="73"/>
        <v>0</v>
      </c>
      <c r="T134" s="113">
        <f t="shared" si="73"/>
        <v>0</v>
      </c>
      <c r="U134" s="113">
        <f t="shared" si="73"/>
        <v>0</v>
      </c>
      <c r="V134" s="114">
        <f t="shared" si="63"/>
        <v>0</v>
      </c>
      <c r="W134" s="114">
        <f t="shared" si="64"/>
        <v>0</v>
      </c>
      <c r="X134" s="114">
        <f t="shared" si="65"/>
        <v>0</v>
      </c>
      <c r="Y134" s="114">
        <f t="shared" si="66"/>
        <v>0</v>
      </c>
      <c r="Z134" s="114">
        <f t="shared" si="67"/>
        <v>0</v>
      </c>
      <c r="AA134" s="6"/>
    </row>
    <row r="135" spans="1:27" s="7" customFormat="1" ht="21" customHeight="1" x14ac:dyDescent="0.25">
      <c r="A135" s="11"/>
      <c r="B135" s="6"/>
      <c r="C135" s="7" t="s">
        <v>129</v>
      </c>
      <c r="D135" s="8">
        <v>1</v>
      </c>
      <c r="E135" s="6" t="s">
        <v>116</v>
      </c>
      <c r="F135" s="6" t="s">
        <v>120</v>
      </c>
      <c r="G135" s="112">
        <v>15</v>
      </c>
      <c r="H135" s="112">
        <v>0</v>
      </c>
      <c r="I135" s="112">
        <f t="shared" ref="I135" si="74">+G135-H135</f>
        <v>15</v>
      </c>
      <c r="J135" s="6">
        <f t="shared" si="69"/>
        <v>0</v>
      </c>
      <c r="K135" s="6"/>
      <c r="L135" s="112">
        <v>4</v>
      </c>
      <c r="M135" s="6">
        <f t="shared" si="71"/>
        <v>48</v>
      </c>
      <c r="N135" s="112">
        <v>0</v>
      </c>
      <c r="O135" s="112">
        <v>14</v>
      </c>
      <c r="P135" s="6">
        <f t="shared" si="61"/>
        <v>32</v>
      </c>
      <c r="Q135" s="113">
        <f t="shared" si="73"/>
        <v>0</v>
      </c>
      <c r="R135" s="113">
        <f t="shared" si="73"/>
        <v>0</v>
      </c>
      <c r="S135" s="113">
        <f t="shared" si="73"/>
        <v>0</v>
      </c>
      <c r="T135" s="113">
        <f t="shared" si="73"/>
        <v>0.20833333333333334</v>
      </c>
      <c r="U135" s="113">
        <f t="shared" si="73"/>
        <v>0.45833333333333331</v>
      </c>
      <c r="V135" s="114">
        <f t="shared" si="63"/>
        <v>0</v>
      </c>
      <c r="W135" s="114">
        <f t="shared" si="64"/>
        <v>0</v>
      </c>
      <c r="X135" s="114">
        <f t="shared" si="65"/>
        <v>0</v>
      </c>
      <c r="Y135" s="114">
        <f t="shared" si="66"/>
        <v>3.125</v>
      </c>
      <c r="Z135" s="114">
        <f t="shared" si="67"/>
        <v>3.75</v>
      </c>
      <c r="AA135" s="6"/>
    </row>
    <row r="136" spans="1:27" s="7" customFormat="1" ht="21" customHeight="1" x14ac:dyDescent="0.25">
      <c r="A136" s="11"/>
      <c r="B136" s="6"/>
      <c r="C136" s="365" t="s">
        <v>130</v>
      </c>
      <c r="D136" s="8">
        <v>5</v>
      </c>
      <c r="E136" s="6" t="s">
        <v>116</v>
      </c>
      <c r="F136" s="6" t="s">
        <v>117</v>
      </c>
      <c r="G136" s="112">
        <v>15</v>
      </c>
      <c r="H136" s="112">
        <v>0</v>
      </c>
      <c r="I136" s="112">
        <v>0</v>
      </c>
      <c r="J136" s="6">
        <f t="shared" si="69"/>
        <v>0</v>
      </c>
      <c r="K136" s="6"/>
      <c r="L136" s="112">
        <v>0.5</v>
      </c>
      <c r="M136" s="6">
        <f t="shared" si="71"/>
        <v>6</v>
      </c>
      <c r="N136" s="112">
        <v>48</v>
      </c>
      <c r="O136" s="112">
        <v>12</v>
      </c>
      <c r="P136" s="6">
        <f t="shared" si="61"/>
        <v>78</v>
      </c>
      <c r="Q136" s="113">
        <f t="shared" si="73"/>
        <v>0</v>
      </c>
      <c r="R136" s="113">
        <f t="shared" si="73"/>
        <v>0</v>
      </c>
      <c r="S136" s="113">
        <f t="shared" si="73"/>
        <v>0</v>
      </c>
      <c r="T136" s="113">
        <f t="shared" si="73"/>
        <v>0</v>
      </c>
      <c r="U136" s="113">
        <f t="shared" si="73"/>
        <v>0</v>
      </c>
      <c r="V136" s="114">
        <f t="shared" si="63"/>
        <v>0</v>
      </c>
      <c r="W136" s="114">
        <f t="shared" si="64"/>
        <v>0</v>
      </c>
      <c r="X136" s="114">
        <f t="shared" si="65"/>
        <v>0</v>
      </c>
      <c r="Y136" s="114">
        <f t="shared" si="66"/>
        <v>0</v>
      </c>
      <c r="Z136" s="114">
        <f t="shared" si="67"/>
        <v>0</v>
      </c>
      <c r="AA136" s="6"/>
    </row>
    <row r="137" spans="1:27" s="7" customFormat="1" ht="21" customHeight="1" x14ac:dyDescent="0.25">
      <c r="A137" s="11"/>
      <c r="B137" s="6"/>
      <c r="C137" s="7" t="s">
        <v>131</v>
      </c>
      <c r="D137" s="8">
        <v>1</v>
      </c>
      <c r="E137" s="6" t="s">
        <v>116</v>
      </c>
      <c r="F137" s="6" t="s">
        <v>132</v>
      </c>
      <c r="G137" s="112">
        <v>45</v>
      </c>
      <c r="H137" s="112">
        <v>25</v>
      </c>
      <c r="I137" s="112">
        <v>20</v>
      </c>
      <c r="J137" s="6">
        <f t="shared" si="69"/>
        <v>0</v>
      </c>
      <c r="K137" s="6"/>
      <c r="L137" s="110" t="s">
        <v>306</v>
      </c>
      <c r="M137" s="111"/>
      <c r="N137" s="111"/>
      <c r="O137" s="111"/>
      <c r="P137" s="111"/>
      <c r="Q137" s="111"/>
      <c r="R137" s="111"/>
      <c r="S137" s="111"/>
      <c r="T137" s="111"/>
      <c r="U137" s="111"/>
      <c r="V137" s="112">
        <v>20</v>
      </c>
      <c r="W137" s="112">
        <v>0</v>
      </c>
      <c r="X137" s="112">
        <v>0</v>
      </c>
      <c r="Y137" s="112">
        <v>0</v>
      </c>
      <c r="Z137" s="112">
        <v>0</v>
      </c>
      <c r="AA137" s="6"/>
    </row>
    <row r="138" spans="1:27" s="7" customFormat="1" ht="21" customHeight="1" x14ac:dyDescent="0.25">
      <c r="A138" s="11"/>
      <c r="B138" s="6"/>
      <c r="C138" s="365" t="s">
        <v>133</v>
      </c>
      <c r="D138" s="8">
        <v>5</v>
      </c>
      <c r="E138" s="6" t="s">
        <v>116</v>
      </c>
      <c r="F138" s="6" t="s">
        <v>105</v>
      </c>
      <c r="G138" s="112">
        <v>300</v>
      </c>
      <c r="H138" s="112">
        <v>0</v>
      </c>
      <c r="I138" s="112">
        <v>0</v>
      </c>
      <c r="J138" s="6">
        <f t="shared" si="69"/>
        <v>0</v>
      </c>
      <c r="K138" s="6"/>
      <c r="L138" s="112">
        <v>6</v>
      </c>
      <c r="M138" s="6">
        <f t="shared" si="71"/>
        <v>72</v>
      </c>
      <c r="N138" s="112">
        <v>120</v>
      </c>
      <c r="O138" s="112">
        <v>14</v>
      </c>
      <c r="P138" s="6">
        <f t="shared" si="61"/>
        <v>152</v>
      </c>
      <c r="Q138" s="113">
        <f t="shared" ref="Q138:U144" si="75">IFERROR(IF(AND((Q$220-$P138)/$M138&gt;0,(Q$220-$P138)/$M138&lt;1),(Q$220-$P138)/$M138,IF((Q$220-$P138)/$M138&gt;0,1,0)),0)</f>
        <v>0</v>
      </c>
      <c r="R138" s="113">
        <f t="shared" si="75"/>
        <v>0</v>
      </c>
      <c r="S138" s="113">
        <f t="shared" si="75"/>
        <v>0</v>
      </c>
      <c r="T138" s="113">
        <f t="shared" si="75"/>
        <v>0</v>
      </c>
      <c r="U138" s="113">
        <f t="shared" si="75"/>
        <v>0</v>
      </c>
      <c r="V138" s="114">
        <f t="shared" si="63"/>
        <v>0</v>
      </c>
      <c r="W138" s="114">
        <f t="shared" si="64"/>
        <v>0</v>
      </c>
      <c r="X138" s="114">
        <f t="shared" si="65"/>
        <v>0</v>
      </c>
      <c r="Y138" s="114">
        <f t="shared" si="66"/>
        <v>0</v>
      </c>
      <c r="Z138" s="114">
        <f t="shared" si="67"/>
        <v>0</v>
      </c>
      <c r="AA138" s="6"/>
    </row>
    <row r="139" spans="1:27" s="7" customFormat="1" ht="21" customHeight="1" x14ac:dyDescent="0.25">
      <c r="A139" s="11"/>
      <c r="B139" s="6"/>
      <c r="C139" s="365" t="s">
        <v>134</v>
      </c>
      <c r="D139" s="8">
        <v>4</v>
      </c>
      <c r="E139" s="6" t="s">
        <v>116</v>
      </c>
      <c r="F139" s="6" t="s">
        <v>105</v>
      </c>
      <c r="G139" s="112">
        <v>100</v>
      </c>
      <c r="H139" s="112">
        <v>0</v>
      </c>
      <c r="I139" s="112">
        <v>0</v>
      </c>
      <c r="J139" s="6">
        <f t="shared" si="69"/>
        <v>0</v>
      </c>
      <c r="K139" s="6"/>
      <c r="L139" s="112">
        <v>1.5</v>
      </c>
      <c r="M139" s="6">
        <f t="shared" si="71"/>
        <v>18</v>
      </c>
      <c r="N139" s="112">
        <v>60</v>
      </c>
      <c r="O139" s="112">
        <v>14</v>
      </c>
      <c r="P139" s="6">
        <f t="shared" si="61"/>
        <v>92</v>
      </c>
      <c r="Q139" s="113">
        <f t="shared" si="75"/>
        <v>0</v>
      </c>
      <c r="R139" s="113">
        <f t="shared" si="75"/>
        <v>0</v>
      </c>
      <c r="S139" s="113">
        <f t="shared" si="75"/>
        <v>0</v>
      </c>
      <c r="T139" s="113">
        <f t="shared" si="75"/>
        <v>0</v>
      </c>
      <c r="U139" s="113">
        <f t="shared" si="75"/>
        <v>0</v>
      </c>
      <c r="V139" s="114">
        <f t="shared" si="63"/>
        <v>0</v>
      </c>
      <c r="W139" s="114">
        <f t="shared" si="64"/>
        <v>0</v>
      </c>
      <c r="X139" s="114">
        <f t="shared" si="65"/>
        <v>0</v>
      </c>
      <c r="Y139" s="114">
        <f t="shared" si="66"/>
        <v>0</v>
      </c>
      <c r="Z139" s="114">
        <f t="shared" si="67"/>
        <v>0</v>
      </c>
      <c r="AA139" s="6"/>
    </row>
    <row r="140" spans="1:27" s="7" customFormat="1" ht="21" customHeight="1" x14ac:dyDescent="0.25">
      <c r="A140" s="11"/>
      <c r="B140" s="6"/>
      <c r="C140" s="365" t="s">
        <v>135</v>
      </c>
      <c r="D140" s="8">
        <v>4</v>
      </c>
      <c r="E140" s="6" t="s">
        <v>116</v>
      </c>
      <c r="F140" s="6" t="s">
        <v>105</v>
      </c>
      <c r="G140" s="112">
        <v>200</v>
      </c>
      <c r="H140" s="112">
        <v>0</v>
      </c>
      <c r="I140" s="112">
        <v>0</v>
      </c>
      <c r="J140" s="6">
        <f t="shared" si="69"/>
        <v>0</v>
      </c>
      <c r="K140" s="6"/>
      <c r="L140" s="112">
        <v>4</v>
      </c>
      <c r="M140" s="6">
        <f t="shared" si="71"/>
        <v>48</v>
      </c>
      <c r="N140" s="112">
        <v>60</v>
      </c>
      <c r="O140" s="112">
        <v>14</v>
      </c>
      <c r="P140" s="6">
        <f t="shared" si="61"/>
        <v>92</v>
      </c>
      <c r="Q140" s="113">
        <f t="shared" si="75"/>
        <v>0</v>
      </c>
      <c r="R140" s="113">
        <f t="shared" si="75"/>
        <v>0</v>
      </c>
      <c r="S140" s="113">
        <f t="shared" si="75"/>
        <v>0</v>
      </c>
      <c r="T140" s="113">
        <f t="shared" si="75"/>
        <v>0</v>
      </c>
      <c r="U140" s="113">
        <f t="shared" si="75"/>
        <v>0</v>
      </c>
      <c r="V140" s="114">
        <f t="shared" si="63"/>
        <v>0</v>
      </c>
      <c r="W140" s="114">
        <f t="shared" si="64"/>
        <v>0</v>
      </c>
      <c r="X140" s="114">
        <f t="shared" si="65"/>
        <v>0</v>
      </c>
      <c r="Y140" s="114">
        <f t="shared" si="66"/>
        <v>0</v>
      </c>
      <c r="Z140" s="114">
        <f t="shared" si="67"/>
        <v>0</v>
      </c>
      <c r="AA140" s="6"/>
    </row>
    <row r="141" spans="1:27" s="7" customFormat="1" ht="21" customHeight="1" x14ac:dyDescent="0.25">
      <c r="A141" s="11"/>
      <c r="B141" s="6"/>
      <c r="C141" s="365" t="s">
        <v>136</v>
      </c>
      <c r="D141" s="8">
        <v>4</v>
      </c>
      <c r="E141" s="6" t="s">
        <v>116</v>
      </c>
      <c r="F141" s="6" t="s">
        <v>105</v>
      </c>
      <c r="G141" s="112">
        <v>300</v>
      </c>
      <c r="H141" s="112">
        <v>0</v>
      </c>
      <c r="I141" s="112">
        <v>0</v>
      </c>
      <c r="J141" s="6">
        <f t="shared" si="69"/>
        <v>0</v>
      </c>
      <c r="K141" s="6"/>
      <c r="L141" s="112">
        <v>12</v>
      </c>
      <c r="M141" s="6">
        <f t="shared" si="71"/>
        <v>144</v>
      </c>
      <c r="N141" s="112">
        <v>60</v>
      </c>
      <c r="O141" s="112">
        <v>14</v>
      </c>
      <c r="P141" s="6">
        <f t="shared" si="61"/>
        <v>92</v>
      </c>
      <c r="Q141" s="113">
        <f t="shared" si="75"/>
        <v>0</v>
      </c>
      <c r="R141" s="113">
        <f t="shared" si="75"/>
        <v>0</v>
      </c>
      <c r="S141" s="113">
        <f t="shared" si="75"/>
        <v>0</v>
      </c>
      <c r="T141" s="113">
        <f t="shared" si="75"/>
        <v>0</v>
      </c>
      <c r="U141" s="113">
        <f t="shared" si="75"/>
        <v>0</v>
      </c>
      <c r="V141" s="114">
        <f t="shared" si="63"/>
        <v>0</v>
      </c>
      <c r="W141" s="114">
        <f t="shared" si="64"/>
        <v>0</v>
      </c>
      <c r="X141" s="114">
        <f t="shared" si="65"/>
        <v>0</v>
      </c>
      <c r="Y141" s="114">
        <f t="shared" si="66"/>
        <v>0</v>
      </c>
      <c r="Z141" s="114">
        <f t="shared" si="67"/>
        <v>0</v>
      </c>
      <c r="AA141" s="6"/>
    </row>
    <row r="142" spans="1:27" s="7" customFormat="1" ht="21" customHeight="1" x14ac:dyDescent="0.25">
      <c r="A142" s="11"/>
      <c r="B142" s="6"/>
      <c r="C142" s="7" t="s">
        <v>137</v>
      </c>
      <c r="D142" s="8">
        <v>3</v>
      </c>
      <c r="E142" s="6" t="s">
        <v>116</v>
      </c>
      <c r="F142" s="6" t="s">
        <v>105</v>
      </c>
      <c r="G142" s="112">
        <v>460</v>
      </c>
      <c r="H142" s="112">
        <v>0</v>
      </c>
      <c r="I142" s="112">
        <v>0</v>
      </c>
      <c r="J142" s="6">
        <f t="shared" si="69"/>
        <v>0</v>
      </c>
      <c r="K142" s="6"/>
      <c r="L142" s="112">
        <v>5</v>
      </c>
      <c r="M142" s="6">
        <f t="shared" si="71"/>
        <v>60</v>
      </c>
      <c r="N142" s="112">
        <v>6</v>
      </c>
      <c r="O142" s="112">
        <v>14</v>
      </c>
      <c r="P142" s="6">
        <f t="shared" si="61"/>
        <v>38</v>
      </c>
      <c r="Q142" s="113">
        <f t="shared" si="75"/>
        <v>0</v>
      </c>
      <c r="R142" s="113">
        <f t="shared" si="75"/>
        <v>0</v>
      </c>
      <c r="S142" s="113">
        <f t="shared" si="75"/>
        <v>0</v>
      </c>
      <c r="T142" s="113">
        <f t="shared" si="75"/>
        <v>6.6666666666666666E-2</v>
      </c>
      <c r="U142" s="113">
        <f t="shared" si="75"/>
        <v>0.26666666666666666</v>
      </c>
      <c r="V142" s="114">
        <f t="shared" si="63"/>
        <v>0</v>
      </c>
      <c r="W142" s="114">
        <f t="shared" si="64"/>
        <v>0</v>
      </c>
      <c r="X142" s="114">
        <f t="shared" si="65"/>
        <v>0</v>
      </c>
      <c r="Y142" s="114">
        <f t="shared" si="66"/>
        <v>30.666666666666668</v>
      </c>
      <c r="Z142" s="114">
        <f t="shared" si="67"/>
        <v>92</v>
      </c>
      <c r="AA142" s="6"/>
    </row>
    <row r="143" spans="1:27" s="7" customFormat="1" ht="21" customHeight="1" x14ac:dyDescent="0.25">
      <c r="A143" s="11"/>
      <c r="B143" s="6"/>
      <c r="C143" s="365" t="s">
        <v>138</v>
      </c>
      <c r="D143" s="8">
        <v>5</v>
      </c>
      <c r="E143" s="6" t="s">
        <v>116</v>
      </c>
      <c r="F143" s="6" t="s">
        <v>105</v>
      </c>
      <c r="G143" s="112">
        <v>40</v>
      </c>
      <c r="H143" s="112">
        <v>0</v>
      </c>
      <c r="I143" s="112">
        <v>0</v>
      </c>
      <c r="J143" s="6">
        <f t="shared" si="69"/>
        <v>0</v>
      </c>
      <c r="K143" s="6"/>
      <c r="L143" s="112">
        <v>1</v>
      </c>
      <c r="M143" s="6">
        <f t="shared" si="71"/>
        <v>12</v>
      </c>
      <c r="N143" s="112">
        <v>84</v>
      </c>
      <c r="O143" s="112">
        <v>14</v>
      </c>
      <c r="P143" s="6">
        <f t="shared" si="61"/>
        <v>116</v>
      </c>
      <c r="Q143" s="113">
        <f t="shared" si="75"/>
        <v>0</v>
      </c>
      <c r="R143" s="113">
        <f t="shared" si="75"/>
        <v>0</v>
      </c>
      <c r="S143" s="113">
        <f t="shared" si="75"/>
        <v>0</v>
      </c>
      <c r="T143" s="113">
        <f t="shared" si="75"/>
        <v>0</v>
      </c>
      <c r="U143" s="113">
        <f t="shared" si="75"/>
        <v>0</v>
      </c>
      <c r="V143" s="114">
        <f t="shared" si="63"/>
        <v>0</v>
      </c>
      <c r="W143" s="114">
        <f t="shared" si="64"/>
        <v>0</v>
      </c>
      <c r="X143" s="114">
        <f t="shared" si="65"/>
        <v>0</v>
      </c>
      <c r="Y143" s="114">
        <f t="shared" si="66"/>
        <v>0</v>
      </c>
      <c r="Z143" s="114">
        <f t="shared" si="67"/>
        <v>0</v>
      </c>
      <c r="AA143" s="6"/>
    </row>
    <row r="144" spans="1:27" s="7" customFormat="1" ht="21" customHeight="1" x14ac:dyDescent="0.25">
      <c r="A144" s="11"/>
      <c r="B144" s="6"/>
      <c r="C144" s="7" t="s">
        <v>139</v>
      </c>
      <c r="D144" s="8">
        <v>3</v>
      </c>
      <c r="E144" s="6" t="s">
        <v>116</v>
      </c>
      <c r="F144" s="6" t="s">
        <v>105</v>
      </c>
      <c r="G144" s="112">
        <v>30</v>
      </c>
      <c r="H144" s="112">
        <v>0</v>
      </c>
      <c r="I144" s="112">
        <v>0</v>
      </c>
      <c r="J144" s="6">
        <f t="shared" si="69"/>
        <v>0</v>
      </c>
      <c r="K144" s="6"/>
      <c r="L144" s="112">
        <v>1</v>
      </c>
      <c r="M144" s="6">
        <f t="shared" si="71"/>
        <v>12</v>
      </c>
      <c r="N144" s="112">
        <v>-2</v>
      </c>
      <c r="O144" s="112">
        <v>6</v>
      </c>
      <c r="P144" s="6">
        <f t="shared" si="61"/>
        <v>22</v>
      </c>
      <c r="Q144" s="113">
        <f t="shared" si="75"/>
        <v>0</v>
      </c>
      <c r="R144" s="113">
        <f t="shared" si="75"/>
        <v>0</v>
      </c>
      <c r="S144" s="113">
        <f t="shared" si="75"/>
        <v>0.66666666666666663</v>
      </c>
      <c r="T144" s="113">
        <f t="shared" si="75"/>
        <v>1</v>
      </c>
      <c r="U144" s="113">
        <f t="shared" si="75"/>
        <v>1</v>
      </c>
      <c r="V144" s="114">
        <f t="shared" si="63"/>
        <v>0</v>
      </c>
      <c r="W144" s="114">
        <f t="shared" si="64"/>
        <v>0</v>
      </c>
      <c r="X144" s="114">
        <f t="shared" ref="X144" si="76">S144*($G144-$H144)-SUM(V144:W144)</f>
        <v>20</v>
      </c>
      <c r="Y144" s="114">
        <f t="shared" ref="Y144" si="77">T144*($G144-$H144)-SUM(V144:X144)</f>
        <v>10</v>
      </c>
      <c r="Z144" s="114">
        <f t="shared" si="67"/>
        <v>0</v>
      </c>
      <c r="AA144" s="6"/>
    </row>
    <row r="145" spans="1:27" s="181" customFormat="1" ht="21" customHeight="1" x14ac:dyDescent="0.25">
      <c r="A145" s="173"/>
      <c r="B145" s="129"/>
      <c r="C145" s="174" t="s">
        <v>140</v>
      </c>
      <c r="D145" s="175">
        <v>2</v>
      </c>
      <c r="E145" s="129" t="s">
        <v>116</v>
      </c>
      <c r="F145" s="129" t="s">
        <v>105</v>
      </c>
      <c r="G145" s="176"/>
      <c r="H145" s="176"/>
      <c r="I145" s="176"/>
      <c r="J145" s="177"/>
      <c r="K145" s="129"/>
      <c r="L145" s="178"/>
      <c r="M145" s="129"/>
      <c r="N145" s="178"/>
      <c r="O145" s="178"/>
      <c r="P145" s="129"/>
      <c r="Q145" s="179"/>
      <c r="R145" s="179"/>
      <c r="S145" s="179"/>
      <c r="T145" s="179"/>
      <c r="U145" s="179"/>
      <c r="V145" s="180"/>
      <c r="W145" s="180"/>
      <c r="X145" s="180"/>
      <c r="Y145" s="180"/>
      <c r="Z145" s="180"/>
      <c r="AA145" s="129"/>
    </row>
    <row r="146" spans="1:27" s="7" customFormat="1" ht="21" customHeight="1" x14ac:dyDescent="0.25">
      <c r="A146" s="11"/>
      <c r="B146" s="6"/>
      <c r="C146" s="7" t="s">
        <v>141</v>
      </c>
      <c r="D146" s="8">
        <v>3</v>
      </c>
      <c r="E146" s="6" t="s">
        <v>142</v>
      </c>
      <c r="F146" s="6" t="s">
        <v>142</v>
      </c>
      <c r="G146" s="112">
        <v>1430</v>
      </c>
      <c r="H146" s="112">
        <v>0</v>
      </c>
      <c r="I146" s="112">
        <v>0</v>
      </c>
      <c r="J146" s="6">
        <f t="shared" si="69"/>
        <v>0</v>
      </c>
      <c r="K146" s="6"/>
      <c r="L146" s="112">
        <v>17</v>
      </c>
      <c r="M146" s="6">
        <f t="shared" si="71"/>
        <v>204</v>
      </c>
      <c r="N146" s="112">
        <v>4.9000000000000004</v>
      </c>
      <c r="O146" s="112">
        <v>14</v>
      </c>
      <c r="P146" s="6">
        <f t="shared" si="61"/>
        <v>36.9</v>
      </c>
      <c r="Q146" s="113">
        <f t="shared" ref="Q146:U148" si="78">IFERROR(IF(AND((Q$220-$P146)/$M146&gt;0,(Q$220-$P146)/$M146&lt;1),(Q$220-$P146)/$M146,IF((Q$220-$P146)/$M146&gt;0,1,0)),0)</f>
        <v>0</v>
      </c>
      <c r="R146" s="113">
        <f t="shared" si="78"/>
        <v>0</v>
      </c>
      <c r="S146" s="113">
        <f t="shared" si="78"/>
        <v>0</v>
      </c>
      <c r="T146" s="113">
        <f t="shared" si="78"/>
        <v>2.5000000000000008E-2</v>
      </c>
      <c r="U146" s="113">
        <f t="shared" si="78"/>
        <v>8.3823529411764713E-2</v>
      </c>
      <c r="V146" s="114">
        <f t="shared" si="63"/>
        <v>0</v>
      </c>
      <c r="W146" s="114">
        <f t="shared" si="64"/>
        <v>0</v>
      </c>
      <c r="X146" s="114">
        <f t="shared" si="65"/>
        <v>0</v>
      </c>
      <c r="Y146" s="114">
        <f t="shared" si="66"/>
        <v>35.750000000000014</v>
      </c>
      <c r="Z146" s="114">
        <f t="shared" si="67"/>
        <v>84.117647058823522</v>
      </c>
      <c r="AA146" s="6"/>
    </row>
    <row r="147" spans="1:27" s="7" customFormat="1" ht="21" customHeight="1" x14ac:dyDescent="0.25">
      <c r="A147" s="11"/>
      <c r="B147" s="6"/>
      <c r="C147" s="7" t="s">
        <v>143</v>
      </c>
      <c r="D147" s="8">
        <v>3</v>
      </c>
      <c r="E147" s="6" t="s">
        <v>142</v>
      </c>
      <c r="F147" s="6" t="s">
        <v>142</v>
      </c>
      <c r="G147" s="112">
        <v>2000</v>
      </c>
      <c r="H147" s="112">
        <v>0</v>
      </c>
      <c r="I147" s="112">
        <v>0</v>
      </c>
      <c r="J147" s="6">
        <f t="shared" si="69"/>
        <v>0</v>
      </c>
      <c r="K147" s="6"/>
      <c r="L147" s="112">
        <v>20</v>
      </c>
      <c r="M147" s="6">
        <f t="shared" si="71"/>
        <v>240</v>
      </c>
      <c r="N147" s="112">
        <v>9.9499999999999993</v>
      </c>
      <c r="O147" s="112">
        <v>14</v>
      </c>
      <c r="P147" s="6">
        <f t="shared" si="61"/>
        <v>41.95</v>
      </c>
      <c r="Q147" s="113">
        <f t="shared" si="78"/>
        <v>0</v>
      </c>
      <c r="R147" s="113">
        <f t="shared" si="78"/>
        <v>0</v>
      </c>
      <c r="S147" s="113">
        <f t="shared" si="78"/>
        <v>0</v>
      </c>
      <c r="T147" s="113">
        <f t="shared" si="78"/>
        <v>2.083333333333215E-4</v>
      </c>
      <c r="U147" s="113">
        <f t="shared" si="78"/>
        <v>5.020833333333332E-2</v>
      </c>
      <c r="V147" s="114">
        <f t="shared" si="63"/>
        <v>0</v>
      </c>
      <c r="W147" s="114">
        <f t="shared" si="64"/>
        <v>0</v>
      </c>
      <c r="X147" s="114">
        <f t="shared" si="65"/>
        <v>0</v>
      </c>
      <c r="Y147" s="114">
        <f t="shared" si="66"/>
        <v>0.41666666666664298</v>
      </c>
      <c r="Z147" s="114">
        <f t="shared" si="67"/>
        <v>100</v>
      </c>
      <c r="AA147" s="6"/>
    </row>
    <row r="148" spans="1:27" s="7" customFormat="1" ht="21" customHeight="1" x14ac:dyDescent="0.25">
      <c r="A148" s="11"/>
      <c r="B148" s="6"/>
      <c r="C148" s="365" t="s">
        <v>144</v>
      </c>
      <c r="D148" s="8">
        <v>4</v>
      </c>
      <c r="E148" s="6" t="s">
        <v>142</v>
      </c>
      <c r="F148" s="6" t="s">
        <v>142</v>
      </c>
      <c r="G148" s="112">
        <v>900</v>
      </c>
      <c r="H148" s="112">
        <v>0</v>
      </c>
      <c r="I148" s="112">
        <v>0</v>
      </c>
      <c r="J148" s="6">
        <f t="shared" si="69"/>
        <v>0</v>
      </c>
      <c r="K148" s="6"/>
      <c r="L148" s="112">
        <v>12</v>
      </c>
      <c r="M148" s="6">
        <f t="shared" si="71"/>
        <v>144</v>
      </c>
      <c r="N148" s="112">
        <v>84</v>
      </c>
      <c r="O148" s="112">
        <v>14</v>
      </c>
      <c r="P148" s="6">
        <f t="shared" si="61"/>
        <v>116</v>
      </c>
      <c r="Q148" s="113">
        <f t="shared" si="78"/>
        <v>0</v>
      </c>
      <c r="R148" s="113">
        <f t="shared" si="78"/>
        <v>0</v>
      </c>
      <c r="S148" s="113">
        <f t="shared" si="78"/>
        <v>0</v>
      </c>
      <c r="T148" s="113">
        <f t="shared" si="78"/>
        <v>0</v>
      </c>
      <c r="U148" s="113">
        <f t="shared" si="78"/>
        <v>0</v>
      </c>
      <c r="V148" s="114">
        <f t="shared" si="63"/>
        <v>0</v>
      </c>
      <c r="W148" s="114">
        <f t="shared" si="64"/>
        <v>0</v>
      </c>
      <c r="X148" s="114">
        <f t="shared" si="65"/>
        <v>0</v>
      </c>
      <c r="Y148" s="114">
        <f t="shared" si="66"/>
        <v>0</v>
      </c>
      <c r="Z148" s="114">
        <f t="shared" si="67"/>
        <v>0</v>
      </c>
      <c r="AA148" s="6"/>
    </row>
    <row r="149" spans="1:27" s="7" customFormat="1" ht="21" customHeight="1" x14ac:dyDescent="0.25">
      <c r="A149" s="11"/>
      <c r="B149" s="6"/>
      <c r="C149" s="7" t="s">
        <v>145</v>
      </c>
      <c r="D149" s="8">
        <v>1</v>
      </c>
      <c r="E149" s="6" t="s">
        <v>142</v>
      </c>
      <c r="F149" s="6" t="s">
        <v>142</v>
      </c>
      <c r="G149" s="112">
        <v>833</v>
      </c>
      <c r="H149" s="112">
        <v>0</v>
      </c>
      <c r="I149" s="112">
        <v>153</v>
      </c>
      <c r="J149" s="6">
        <f t="shared" si="69"/>
        <v>680</v>
      </c>
      <c r="K149" s="6"/>
      <c r="L149" s="110" t="s">
        <v>306</v>
      </c>
      <c r="M149" s="111"/>
      <c r="N149" s="111"/>
      <c r="O149" s="111"/>
      <c r="P149" s="111"/>
      <c r="Q149" s="111"/>
      <c r="R149" s="111"/>
      <c r="S149" s="111"/>
      <c r="T149" s="111"/>
      <c r="U149" s="111"/>
      <c r="V149" s="112">
        <v>0</v>
      </c>
      <c r="W149" s="112">
        <v>26</v>
      </c>
      <c r="X149" s="112">
        <f>10+50</f>
        <v>60</v>
      </c>
      <c r="Y149" s="112">
        <f>19+48</f>
        <v>67</v>
      </c>
      <c r="Z149" s="112">
        <v>67</v>
      </c>
      <c r="AA149" s="6"/>
    </row>
    <row r="150" spans="1:27" s="7" customFormat="1" ht="21" customHeight="1" x14ac:dyDescent="0.25">
      <c r="A150" s="11"/>
      <c r="B150" s="6"/>
      <c r="C150" s="7" t="s">
        <v>146</v>
      </c>
      <c r="D150" s="8">
        <v>3</v>
      </c>
      <c r="E150" s="6" t="s">
        <v>142</v>
      </c>
      <c r="F150" s="6" t="s">
        <v>142</v>
      </c>
      <c r="G150" s="112">
        <v>750</v>
      </c>
      <c r="H150" s="112">
        <v>0</v>
      </c>
      <c r="I150" s="112">
        <v>0</v>
      </c>
      <c r="J150" s="6">
        <f t="shared" si="69"/>
        <v>0</v>
      </c>
      <c r="K150" s="6"/>
      <c r="L150" s="112">
        <v>16</v>
      </c>
      <c r="M150" s="6">
        <f t="shared" si="71"/>
        <v>192</v>
      </c>
      <c r="N150" s="112">
        <v>48</v>
      </c>
      <c r="O150" s="112">
        <v>14</v>
      </c>
      <c r="P150" s="6">
        <f t="shared" si="61"/>
        <v>80</v>
      </c>
      <c r="Q150" s="113">
        <f t="shared" ref="Q150:U151" si="79">IFERROR(IF(AND((Q$220-$P150)/$M150&gt;0,(Q$220-$P150)/$M150&lt;1),(Q$220-$P150)/$M150,IF((Q$220-$P150)/$M150&gt;0,1,0)),0)</f>
        <v>0</v>
      </c>
      <c r="R150" s="113">
        <f t="shared" si="79"/>
        <v>0</v>
      </c>
      <c r="S150" s="113">
        <f t="shared" si="79"/>
        <v>0</v>
      </c>
      <c r="T150" s="113">
        <f t="shared" si="79"/>
        <v>0</v>
      </c>
      <c r="U150" s="113">
        <f t="shared" si="79"/>
        <v>0</v>
      </c>
      <c r="V150" s="114">
        <f t="shared" si="63"/>
        <v>0</v>
      </c>
      <c r="W150" s="114">
        <f t="shared" si="64"/>
        <v>0</v>
      </c>
      <c r="X150" s="114">
        <f t="shared" si="65"/>
        <v>0</v>
      </c>
      <c r="Y150" s="114">
        <f t="shared" si="66"/>
        <v>0</v>
      </c>
      <c r="Z150" s="114">
        <f t="shared" si="67"/>
        <v>0</v>
      </c>
      <c r="AA150" s="6"/>
    </row>
    <row r="151" spans="1:27" s="7" customFormat="1" ht="21" customHeight="1" x14ac:dyDescent="0.25">
      <c r="A151" s="11"/>
      <c r="B151" s="6"/>
      <c r="C151" s="365" t="s">
        <v>147</v>
      </c>
      <c r="D151" s="8">
        <v>5</v>
      </c>
      <c r="E151" s="6" t="s">
        <v>142</v>
      </c>
      <c r="F151" s="6" t="s">
        <v>142</v>
      </c>
      <c r="G151" s="112">
        <v>500</v>
      </c>
      <c r="H151" s="112">
        <v>0</v>
      </c>
      <c r="I151" s="112">
        <v>0</v>
      </c>
      <c r="J151" s="6">
        <f t="shared" si="69"/>
        <v>0</v>
      </c>
      <c r="K151" s="6"/>
      <c r="L151" s="112">
        <v>25</v>
      </c>
      <c r="M151" s="6">
        <f t="shared" si="71"/>
        <v>300</v>
      </c>
      <c r="N151" s="112">
        <v>120</v>
      </c>
      <c r="O151" s="112">
        <v>14</v>
      </c>
      <c r="P151" s="6">
        <f t="shared" si="61"/>
        <v>152</v>
      </c>
      <c r="Q151" s="113">
        <f t="shared" si="79"/>
        <v>0</v>
      </c>
      <c r="R151" s="113">
        <f t="shared" si="79"/>
        <v>0</v>
      </c>
      <c r="S151" s="113">
        <f t="shared" si="79"/>
        <v>0</v>
      </c>
      <c r="T151" s="113">
        <f t="shared" si="79"/>
        <v>0</v>
      </c>
      <c r="U151" s="113">
        <f t="shared" si="79"/>
        <v>0</v>
      </c>
      <c r="V151" s="114">
        <f t="shared" si="63"/>
        <v>0</v>
      </c>
      <c r="W151" s="114">
        <f t="shared" si="64"/>
        <v>0</v>
      </c>
      <c r="X151" s="114">
        <f t="shared" si="65"/>
        <v>0</v>
      </c>
      <c r="Y151" s="114">
        <f t="shared" si="66"/>
        <v>0</v>
      </c>
      <c r="Z151" s="114">
        <f t="shared" si="67"/>
        <v>0</v>
      </c>
      <c r="AA151" s="6"/>
    </row>
    <row r="152" spans="1:27" s="181" customFormat="1" ht="21" customHeight="1" x14ac:dyDescent="0.25">
      <c r="A152" s="173"/>
      <c r="B152" s="129"/>
      <c r="C152" s="174" t="s">
        <v>148</v>
      </c>
      <c r="D152" s="175">
        <v>2</v>
      </c>
      <c r="E152" s="129" t="s">
        <v>142</v>
      </c>
      <c r="F152" s="129" t="s">
        <v>142</v>
      </c>
      <c r="G152" s="176"/>
      <c r="H152" s="176"/>
      <c r="I152" s="176"/>
      <c r="J152" s="177"/>
      <c r="K152" s="129"/>
      <c r="L152" s="178"/>
      <c r="M152" s="129"/>
      <c r="N152" s="178"/>
      <c r="O152" s="178"/>
      <c r="P152" s="129"/>
      <c r="Q152" s="179"/>
      <c r="R152" s="179"/>
      <c r="S152" s="179"/>
      <c r="T152" s="179"/>
      <c r="U152" s="179"/>
      <c r="V152" s="180"/>
      <c r="W152" s="180"/>
      <c r="X152" s="180"/>
      <c r="Y152" s="180"/>
      <c r="Z152" s="180"/>
      <c r="AA152" s="129"/>
    </row>
    <row r="153" spans="1:27" s="181" customFormat="1" ht="21" customHeight="1" x14ac:dyDescent="0.25">
      <c r="A153" s="173"/>
      <c r="B153" s="129"/>
      <c r="C153" s="174" t="s">
        <v>149</v>
      </c>
      <c r="D153" s="175">
        <v>2</v>
      </c>
      <c r="E153" s="129" t="s">
        <v>142</v>
      </c>
      <c r="F153" s="129" t="s">
        <v>142</v>
      </c>
      <c r="G153" s="176"/>
      <c r="H153" s="176"/>
      <c r="I153" s="176"/>
      <c r="J153" s="177"/>
      <c r="K153" s="129"/>
      <c r="L153" s="178"/>
      <c r="M153" s="129"/>
      <c r="N153" s="178"/>
      <c r="O153" s="178"/>
      <c r="P153" s="129"/>
      <c r="Q153" s="179"/>
      <c r="R153" s="179"/>
      <c r="S153" s="179"/>
      <c r="T153" s="179"/>
      <c r="U153" s="179"/>
      <c r="V153" s="180"/>
      <c r="W153" s="180"/>
      <c r="X153" s="180"/>
      <c r="Y153" s="180"/>
      <c r="Z153" s="180"/>
      <c r="AA153" s="129"/>
    </row>
    <row r="154" spans="1:27" s="181" customFormat="1" ht="21" customHeight="1" x14ac:dyDescent="0.25">
      <c r="A154" s="173"/>
      <c r="B154" s="129"/>
      <c r="C154" s="174" t="s">
        <v>150</v>
      </c>
      <c r="D154" s="175">
        <v>5</v>
      </c>
      <c r="E154" s="129" t="s">
        <v>142</v>
      </c>
      <c r="F154" s="129" t="s">
        <v>142</v>
      </c>
      <c r="G154" s="176"/>
      <c r="H154" s="176"/>
      <c r="I154" s="176"/>
      <c r="J154" s="177"/>
      <c r="K154" s="129"/>
      <c r="L154" s="178"/>
      <c r="M154" s="129"/>
      <c r="N154" s="178"/>
      <c r="O154" s="178"/>
      <c r="P154" s="129"/>
      <c r="Q154" s="179"/>
      <c r="R154" s="179"/>
      <c r="S154" s="179"/>
      <c r="T154" s="179"/>
      <c r="U154" s="179"/>
      <c r="V154" s="180"/>
      <c r="W154" s="180"/>
      <c r="X154" s="180"/>
      <c r="Y154" s="180"/>
      <c r="Z154" s="180"/>
      <c r="AA154" s="129"/>
    </row>
    <row r="155" spans="1:27" s="7" customFormat="1" ht="21" customHeight="1" x14ac:dyDescent="0.25">
      <c r="A155" s="11"/>
      <c r="B155" s="6"/>
      <c r="C155" s="365" t="s">
        <v>151</v>
      </c>
      <c r="D155" s="8">
        <v>4</v>
      </c>
      <c r="E155" s="6" t="s">
        <v>152</v>
      </c>
      <c r="F155" s="6" t="s">
        <v>153</v>
      </c>
      <c r="G155" s="112">
        <v>150</v>
      </c>
      <c r="H155" s="112">
        <v>0</v>
      </c>
      <c r="I155" s="112">
        <v>0</v>
      </c>
      <c r="J155" s="6">
        <f t="shared" si="69"/>
        <v>0</v>
      </c>
      <c r="K155" s="6"/>
      <c r="L155" s="112">
        <v>3</v>
      </c>
      <c r="M155" s="6">
        <f t="shared" si="71"/>
        <v>36</v>
      </c>
      <c r="N155" s="112">
        <v>84</v>
      </c>
      <c r="O155" s="112">
        <v>14</v>
      </c>
      <c r="P155" s="6">
        <f t="shared" si="61"/>
        <v>116</v>
      </c>
      <c r="Q155" s="113">
        <f t="shared" ref="Q155:U158" si="80">IFERROR(IF(AND((Q$220-$P155)/$M155&gt;0,(Q$220-$P155)/$M155&lt;1),(Q$220-$P155)/$M155,IF((Q$220-$P155)/$M155&gt;0,1,0)),0)</f>
        <v>0</v>
      </c>
      <c r="R155" s="113">
        <f t="shared" si="80"/>
        <v>0</v>
      </c>
      <c r="S155" s="113">
        <f t="shared" si="80"/>
        <v>0</v>
      </c>
      <c r="T155" s="113">
        <f t="shared" si="80"/>
        <v>0</v>
      </c>
      <c r="U155" s="113">
        <f t="shared" si="80"/>
        <v>0</v>
      </c>
      <c r="V155" s="114">
        <f t="shared" si="63"/>
        <v>0</v>
      </c>
      <c r="W155" s="114">
        <f t="shared" si="64"/>
        <v>0</v>
      </c>
      <c r="X155" s="114">
        <f t="shared" si="65"/>
        <v>0</v>
      </c>
      <c r="Y155" s="114">
        <f t="shared" si="66"/>
        <v>0</v>
      </c>
      <c r="Z155" s="114">
        <f t="shared" si="67"/>
        <v>0</v>
      </c>
      <c r="AA155" s="6"/>
    </row>
    <row r="156" spans="1:27" s="7" customFormat="1" ht="21" customHeight="1" x14ac:dyDescent="0.25">
      <c r="A156" s="11"/>
      <c r="B156" s="6"/>
      <c r="C156" s="365" t="s">
        <v>154</v>
      </c>
      <c r="D156" s="8">
        <v>5</v>
      </c>
      <c r="E156" s="6" t="s">
        <v>152</v>
      </c>
      <c r="F156" s="6" t="s">
        <v>153</v>
      </c>
      <c r="G156" s="112">
        <v>20</v>
      </c>
      <c r="H156" s="112">
        <v>0</v>
      </c>
      <c r="I156" s="112">
        <v>0</v>
      </c>
      <c r="J156" s="6">
        <f t="shared" si="69"/>
        <v>0</v>
      </c>
      <c r="K156" s="6"/>
      <c r="L156" s="112">
        <v>0.5</v>
      </c>
      <c r="M156" s="6">
        <f t="shared" si="71"/>
        <v>6</v>
      </c>
      <c r="N156" s="112">
        <v>48</v>
      </c>
      <c r="O156" s="112">
        <v>14</v>
      </c>
      <c r="P156" s="6">
        <f t="shared" si="61"/>
        <v>80</v>
      </c>
      <c r="Q156" s="113">
        <f t="shared" si="80"/>
        <v>0</v>
      </c>
      <c r="R156" s="113">
        <f t="shared" si="80"/>
        <v>0</v>
      </c>
      <c r="S156" s="113">
        <f t="shared" si="80"/>
        <v>0</v>
      </c>
      <c r="T156" s="113">
        <f t="shared" si="80"/>
        <v>0</v>
      </c>
      <c r="U156" s="113">
        <f t="shared" si="80"/>
        <v>0</v>
      </c>
      <c r="V156" s="114">
        <f t="shared" si="63"/>
        <v>0</v>
      </c>
      <c r="W156" s="114">
        <f t="shared" si="64"/>
        <v>0</v>
      </c>
      <c r="X156" s="114">
        <f t="shared" si="65"/>
        <v>0</v>
      </c>
      <c r="Y156" s="114">
        <f t="shared" si="66"/>
        <v>0</v>
      </c>
      <c r="Z156" s="114">
        <f t="shared" si="67"/>
        <v>0</v>
      </c>
      <c r="AA156" s="6"/>
    </row>
    <row r="157" spans="1:27" s="7" customFormat="1" ht="21" customHeight="1" x14ac:dyDescent="0.25">
      <c r="A157" s="11"/>
      <c r="B157" s="6"/>
      <c r="C157" s="365" t="s">
        <v>155</v>
      </c>
      <c r="D157" s="8">
        <v>5</v>
      </c>
      <c r="E157" s="6" t="s">
        <v>152</v>
      </c>
      <c r="F157" s="6" t="s">
        <v>153</v>
      </c>
      <c r="G157" s="112">
        <v>50</v>
      </c>
      <c r="H157" s="112">
        <v>0</v>
      </c>
      <c r="I157" s="112">
        <v>0</v>
      </c>
      <c r="J157" s="6">
        <f t="shared" si="69"/>
        <v>0</v>
      </c>
      <c r="K157" s="6"/>
      <c r="L157" s="112">
        <v>1</v>
      </c>
      <c r="M157" s="6">
        <f t="shared" si="71"/>
        <v>12</v>
      </c>
      <c r="N157" s="112">
        <v>48</v>
      </c>
      <c r="O157" s="112">
        <v>14</v>
      </c>
      <c r="P157" s="6">
        <f t="shared" si="61"/>
        <v>80</v>
      </c>
      <c r="Q157" s="113">
        <f t="shared" si="80"/>
        <v>0</v>
      </c>
      <c r="R157" s="113">
        <f t="shared" si="80"/>
        <v>0</v>
      </c>
      <c r="S157" s="113">
        <f t="shared" si="80"/>
        <v>0</v>
      </c>
      <c r="T157" s="113">
        <f t="shared" si="80"/>
        <v>0</v>
      </c>
      <c r="U157" s="113">
        <f t="shared" si="80"/>
        <v>0</v>
      </c>
      <c r="V157" s="114">
        <f t="shared" si="63"/>
        <v>0</v>
      </c>
      <c r="W157" s="114">
        <f t="shared" si="64"/>
        <v>0</v>
      </c>
      <c r="X157" s="114">
        <f t="shared" ref="X157:X201" si="81">S157*($G157-$H157)-SUM(V157:W157)</f>
        <v>0</v>
      </c>
      <c r="Y157" s="114">
        <f t="shared" ref="Y157:Y201" si="82">T157*($G157-$H157)-SUM(V157:X157)</f>
        <v>0</v>
      </c>
      <c r="Z157" s="114">
        <f t="shared" si="67"/>
        <v>0</v>
      </c>
      <c r="AA157" s="6"/>
    </row>
    <row r="158" spans="1:27" s="7" customFormat="1" ht="21" customHeight="1" x14ac:dyDescent="0.25">
      <c r="A158" s="11"/>
      <c r="B158" s="6"/>
      <c r="C158" s="7" t="s">
        <v>156</v>
      </c>
      <c r="D158" s="8">
        <v>2</v>
      </c>
      <c r="E158" s="6" t="s">
        <v>152</v>
      </c>
      <c r="F158" s="6" t="s">
        <v>157</v>
      </c>
      <c r="G158" s="112">
        <v>509</v>
      </c>
      <c r="H158" s="112">
        <v>0</v>
      </c>
      <c r="I158" s="112">
        <v>0</v>
      </c>
      <c r="J158" s="6">
        <f t="shared" si="69"/>
        <v>509</v>
      </c>
      <c r="K158" s="6"/>
      <c r="L158" s="112">
        <v>40</v>
      </c>
      <c r="M158" s="6">
        <f t="shared" si="71"/>
        <v>480</v>
      </c>
      <c r="N158" s="112">
        <v>3</v>
      </c>
      <c r="O158" s="112">
        <v>14</v>
      </c>
      <c r="P158" s="6">
        <f t="shared" si="61"/>
        <v>35</v>
      </c>
      <c r="Q158" s="113">
        <f t="shared" si="80"/>
        <v>0</v>
      </c>
      <c r="R158" s="113">
        <f t="shared" si="80"/>
        <v>0</v>
      </c>
      <c r="S158" s="113">
        <f t="shared" si="80"/>
        <v>0</v>
      </c>
      <c r="T158" s="113">
        <f t="shared" si="80"/>
        <v>1.4583333333333334E-2</v>
      </c>
      <c r="U158" s="113">
        <f t="shared" si="80"/>
        <v>3.9583333333333331E-2</v>
      </c>
      <c r="V158" s="114">
        <f t="shared" si="63"/>
        <v>0</v>
      </c>
      <c r="W158" s="114">
        <f t="shared" si="64"/>
        <v>0</v>
      </c>
      <c r="X158" s="114">
        <f t="shared" si="81"/>
        <v>0</v>
      </c>
      <c r="Y158" s="114">
        <f t="shared" si="82"/>
        <v>7.4229166666666666</v>
      </c>
      <c r="Z158" s="114">
        <f t="shared" si="67"/>
        <v>12.725000000000001</v>
      </c>
      <c r="AA158" s="6"/>
    </row>
    <row r="159" spans="1:27" s="7" customFormat="1" ht="21" customHeight="1" x14ac:dyDescent="0.25">
      <c r="A159" s="11"/>
      <c r="B159" s="6"/>
      <c r="C159" s="7" t="s">
        <v>158</v>
      </c>
      <c r="D159" s="8">
        <v>1</v>
      </c>
      <c r="E159" s="6" t="s">
        <v>152</v>
      </c>
      <c r="F159" s="6" t="s">
        <v>157</v>
      </c>
      <c r="G159" s="112">
        <v>60</v>
      </c>
      <c r="H159" s="112">
        <v>60</v>
      </c>
      <c r="I159" s="112">
        <f t="shared" ref="I159:I185" si="83">+G159-H159</f>
        <v>0</v>
      </c>
      <c r="J159" s="6">
        <f t="shared" si="69"/>
        <v>0</v>
      </c>
      <c r="K159" s="6"/>
      <c r="L159" s="110" t="s">
        <v>306</v>
      </c>
      <c r="M159" s="111"/>
      <c r="N159" s="111"/>
      <c r="O159" s="111"/>
      <c r="P159" s="111"/>
      <c r="Q159" s="111"/>
      <c r="R159" s="111"/>
      <c r="S159" s="111"/>
      <c r="T159" s="111"/>
      <c r="U159" s="111"/>
      <c r="V159" s="112">
        <v>60</v>
      </c>
      <c r="W159" s="112">
        <v>0</v>
      </c>
      <c r="X159" s="112">
        <v>0</v>
      </c>
      <c r="Y159" s="112">
        <v>0</v>
      </c>
      <c r="Z159" s="112">
        <v>0</v>
      </c>
      <c r="AA159" s="6"/>
    </row>
    <row r="160" spans="1:27" s="7" customFormat="1" ht="21" customHeight="1" x14ac:dyDescent="0.25">
      <c r="A160" s="11"/>
      <c r="B160" s="6"/>
      <c r="C160" s="7" t="s">
        <v>159</v>
      </c>
      <c r="D160" s="8">
        <v>1</v>
      </c>
      <c r="E160" s="6" t="s">
        <v>152</v>
      </c>
      <c r="F160" s="6" t="s">
        <v>157</v>
      </c>
      <c r="G160" s="112">
        <v>99</v>
      </c>
      <c r="H160" s="112">
        <v>0</v>
      </c>
      <c r="I160" s="112">
        <f t="shared" si="83"/>
        <v>99</v>
      </c>
      <c r="J160" s="6">
        <f t="shared" si="69"/>
        <v>0</v>
      </c>
      <c r="K160" s="6"/>
      <c r="L160" s="110" t="s">
        <v>306</v>
      </c>
      <c r="M160" s="111"/>
      <c r="N160" s="111"/>
      <c r="O160" s="111"/>
      <c r="P160" s="111"/>
      <c r="Q160" s="111"/>
      <c r="R160" s="111"/>
      <c r="S160" s="111"/>
      <c r="T160" s="111"/>
      <c r="U160" s="111"/>
      <c r="V160" s="112">
        <v>38</v>
      </c>
      <c r="W160" s="112">
        <v>58</v>
      </c>
      <c r="X160" s="112">
        <v>20</v>
      </c>
      <c r="Y160" s="112">
        <v>0</v>
      </c>
      <c r="Z160" s="112">
        <v>0</v>
      </c>
      <c r="AA160" s="6"/>
    </row>
    <row r="161" spans="1:27" s="7" customFormat="1" ht="21" customHeight="1" x14ac:dyDescent="0.25">
      <c r="A161" s="11"/>
      <c r="B161" s="6"/>
      <c r="C161" s="7" t="s">
        <v>160</v>
      </c>
      <c r="D161" s="8">
        <v>2</v>
      </c>
      <c r="E161" s="6" t="s">
        <v>152</v>
      </c>
      <c r="F161" s="6" t="s">
        <v>157</v>
      </c>
      <c r="G161" s="112">
        <v>116</v>
      </c>
      <c r="H161" s="112">
        <v>0</v>
      </c>
      <c r="I161" s="112">
        <v>0</v>
      </c>
      <c r="J161" s="6">
        <f t="shared" si="69"/>
        <v>116</v>
      </c>
      <c r="K161" s="6"/>
      <c r="L161" s="110" t="s">
        <v>306</v>
      </c>
      <c r="M161" s="111"/>
      <c r="N161" s="111"/>
      <c r="O161" s="111"/>
      <c r="P161" s="111"/>
      <c r="Q161" s="111"/>
      <c r="R161" s="111"/>
      <c r="S161" s="111"/>
      <c r="T161" s="111"/>
      <c r="U161" s="111"/>
      <c r="V161" s="112">
        <v>0</v>
      </c>
      <c r="W161" s="112">
        <v>0</v>
      </c>
      <c r="X161" s="112">
        <v>40</v>
      </c>
      <c r="Y161" s="112">
        <v>59</v>
      </c>
      <c r="Z161" s="112">
        <v>0</v>
      </c>
      <c r="AA161" s="6"/>
    </row>
    <row r="162" spans="1:27" s="7" customFormat="1" ht="21" customHeight="1" x14ac:dyDescent="0.25">
      <c r="A162" s="11"/>
      <c r="B162" s="6"/>
      <c r="C162" s="7" t="s">
        <v>161</v>
      </c>
      <c r="D162" s="8">
        <v>3</v>
      </c>
      <c r="E162" s="6" t="s">
        <v>152</v>
      </c>
      <c r="F162" s="6" t="s">
        <v>162</v>
      </c>
      <c r="G162" s="112">
        <v>60</v>
      </c>
      <c r="H162" s="112">
        <v>0</v>
      </c>
      <c r="I162" s="112">
        <v>0</v>
      </c>
      <c r="J162" s="6">
        <f t="shared" si="69"/>
        <v>0</v>
      </c>
      <c r="K162" s="6"/>
      <c r="L162" s="112">
        <v>1</v>
      </c>
      <c r="M162" s="6">
        <f t="shared" si="71"/>
        <v>12</v>
      </c>
      <c r="N162" s="112">
        <v>60</v>
      </c>
      <c r="O162" s="112">
        <v>14</v>
      </c>
      <c r="P162" s="6">
        <f t="shared" ref="P162" si="84">+N162+O162+18</f>
        <v>92</v>
      </c>
      <c r="Q162" s="113">
        <f t="shared" ref="Q162:U164" si="85">IFERROR(IF(AND((Q$220-$P162)/$M162&gt;0,(Q$220-$P162)/$M162&lt;1),(Q$220-$P162)/$M162,IF((Q$220-$P162)/$M162&gt;0,1,0)),0)</f>
        <v>0</v>
      </c>
      <c r="R162" s="113">
        <f t="shared" si="85"/>
        <v>0</v>
      </c>
      <c r="S162" s="113">
        <f t="shared" si="85"/>
        <v>0</v>
      </c>
      <c r="T162" s="113">
        <f t="shared" si="85"/>
        <v>0</v>
      </c>
      <c r="U162" s="113">
        <f t="shared" si="85"/>
        <v>0</v>
      </c>
      <c r="V162" s="114">
        <f t="shared" si="63"/>
        <v>0</v>
      </c>
      <c r="W162" s="114">
        <f t="shared" si="64"/>
        <v>0</v>
      </c>
      <c r="X162" s="114">
        <f t="shared" si="81"/>
        <v>0</v>
      </c>
      <c r="Y162" s="114">
        <f t="shared" si="82"/>
        <v>0</v>
      </c>
      <c r="Z162" s="114">
        <f t="shared" si="67"/>
        <v>0</v>
      </c>
      <c r="AA162" s="6"/>
    </row>
    <row r="163" spans="1:27" s="7" customFormat="1" ht="21" customHeight="1" x14ac:dyDescent="0.25">
      <c r="A163" s="115"/>
      <c r="B163" s="6"/>
      <c r="C163" s="7" t="s">
        <v>163</v>
      </c>
      <c r="D163" s="8">
        <v>1</v>
      </c>
      <c r="E163" s="6" t="s">
        <v>152</v>
      </c>
      <c r="F163" s="6" t="s">
        <v>164</v>
      </c>
      <c r="G163" s="112">
        <v>250</v>
      </c>
      <c r="H163" s="112">
        <f>128</f>
        <v>128</v>
      </c>
      <c r="I163" s="112">
        <f t="shared" si="83"/>
        <v>122</v>
      </c>
      <c r="J163" s="6">
        <f t="shared" si="69"/>
        <v>0</v>
      </c>
      <c r="K163" s="6"/>
      <c r="L163" s="112">
        <v>3</v>
      </c>
      <c r="M163" s="6">
        <f t="shared" si="71"/>
        <v>36</v>
      </c>
      <c r="N163" s="112">
        <v>-26</v>
      </c>
      <c r="O163" s="112">
        <v>0</v>
      </c>
      <c r="P163" s="6">
        <f t="shared" si="61"/>
        <v>-8</v>
      </c>
      <c r="Q163" s="113">
        <f t="shared" si="85"/>
        <v>0.3888888888888889</v>
      </c>
      <c r="R163" s="113">
        <f t="shared" si="85"/>
        <v>0.72222222222222221</v>
      </c>
      <c r="S163" s="113">
        <f t="shared" si="85"/>
        <v>1</v>
      </c>
      <c r="T163" s="113">
        <f t="shared" si="85"/>
        <v>1</v>
      </c>
      <c r="U163" s="113">
        <f t="shared" si="85"/>
        <v>1</v>
      </c>
      <c r="V163" s="114">
        <f t="shared" si="63"/>
        <v>47.444444444444443</v>
      </c>
      <c r="W163" s="114">
        <f t="shared" si="64"/>
        <v>40.666666666666671</v>
      </c>
      <c r="X163" s="114">
        <f t="shared" si="81"/>
        <v>33.888888888888886</v>
      </c>
      <c r="Y163" s="114">
        <f t="shared" si="82"/>
        <v>0</v>
      </c>
      <c r="Z163" s="114">
        <f t="shared" si="67"/>
        <v>0</v>
      </c>
      <c r="AA163" s="6"/>
    </row>
    <row r="164" spans="1:27" s="7" customFormat="1" ht="21" customHeight="1" x14ac:dyDescent="0.25">
      <c r="A164" s="115"/>
      <c r="B164" s="6"/>
      <c r="C164" s="365" t="s">
        <v>165</v>
      </c>
      <c r="D164" s="8">
        <v>5</v>
      </c>
      <c r="E164" s="6" t="s">
        <v>152</v>
      </c>
      <c r="F164" s="6" t="s">
        <v>157</v>
      </c>
      <c r="G164" s="112">
        <v>20</v>
      </c>
      <c r="H164" s="112">
        <v>0</v>
      </c>
      <c r="I164" s="112">
        <v>0</v>
      </c>
      <c r="J164" s="6">
        <f t="shared" si="69"/>
        <v>0</v>
      </c>
      <c r="K164" s="6"/>
      <c r="L164" s="112">
        <v>0.5</v>
      </c>
      <c r="M164" s="6">
        <f t="shared" si="71"/>
        <v>6</v>
      </c>
      <c r="N164" s="112">
        <v>48</v>
      </c>
      <c r="O164" s="112">
        <v>14</v>
      </c>
      <c r="P164" s="6">
        <f t="shared" si="61"/>
        <v>80</v>
      </c>
      <c r="Q164" s="113">
        <f t="shared" si="85"/>
        <v>0</v>
      </c>
      <c r="R164" s="113">
        <f t="shared" si="85"/>
        <v>0</v>
      </c>
      <c r="S164" s="113">
        <f t="shared" si="85"/>
        <v>0</v>
      </c>
      <c r="T164" s="113">
        <f t="shared" si="85"/>
        <v>0</v>
      </c>
      <c r="U164" s="113">
        <f t="shared" si="85"/>
        <v>0</v>
      </c>
      <c r="V164" s="114">
        <f t="shared" si="63"/>
        <v>0</v>
      </c>
      <c r="W164" s="114">
        <f t="shared" si="64"/>
        <v>0</v>
      </c>
      <c r="X164" s="114">
        <f t="shared" si="81"/>
        <v>0</v>
      </c>
      <c r="Y164" s="114">
        <f t="shared" si="82"/>
        <v>0</v>
      </c>
      <c r="Z164" s="114">
        <f t="shared" si="67"/>
        <v>0</v>
      </c>
      <c r="AA164" s="6"/>
    </row>
    <row r="165" spans="1:27" s="181" customFormat="1" ht="21" customHeight="1" x14ac:dyDescent="0.25">
      <c r="A165" s="173"/>
      <c r="B165" s="129"/>
      <c r="C165" s="174" t="s">
        <v>166</v>
      </c>
      <c r="D165" s="175">
        <v>2</v>
      </c>
      <c r="E165" s="129" t="s">
        <v>152</v>
      </c>
      <c r="F165" s="129" t="s">
        <v>157</v>
      </c>
      <c r="G165" s="176"/>
      <c r="H165" s="176"/>
      <c r="I165" s="176"/>
      <c r="J165" s="177"/>
      <c r="K165" s="129"/>
      <c r="L165" s="178"/>
      <c r="M165" s="129"/>
      <c r="N165" s="178"/>
      <c r="O165" s="178"/>
      <c r="P165" s="129"/>
      <c r="Q165" s="179"/>
      <c r="R165" s="179"/>
      <c r="S165" s="179"/>
      <c r="T165" s="179"/>
      <c r="U165" s="179"/>
      <c r="V165" s="180"/>
      <c r="W165" s="180"/>
      <c r="X165" s="180"/>
      <c r="Y165" s="180"/>
      <c r="Z165" s="180"/>
      <c r="AA165" s="129"/>
    </row>
    <row r="166" spans="1:27" s="181" customFormat="1" ht="21" customHeight="1" x14ac:dyDescent="0.25">
      <c r="A166" s="173"/>
      <c r="B166" s="129"/>
      <c r="C166" s="174" t="s">
        <v>167</v>
      </c>
      <c r="D166" s="175">
        <v>2</v>
      </c>
      <c r="E166" s="129" t="s">
        <v>152</v>
      </c>
      <c r="F166" s="129" t="s">
        <v>157</v>
      </c>
      <c r="G166" s="176"/>
      <c r="H166" s="176"/>
      <c r="I166" s="176"/>
      <c r="J166" s="177"/>
      <c r="K166" s="129"/>
      <c r="L166" s="178"/>
      <c r="M166" s="129"/>
      <c r="N166" s="178"/>
      <c r="O166" s="178"/>
      <c r="P166" s="129"/>
      <c r="Q166" s="179"/>
      <c r="R166" s="179"/>
      <c r="S166" s="179"/>
      <c r="T166" s="179"/>
      <c r="U166" s="179"/>
      <c r="V166" s="180"/>
      <c r="W166" s="180"/>
      <c r="X166" s="180"/>
      <c r="Y166" s="180"/>
      <c r="Z166" s="180"/>
      <c r="AA166" s="129"/>
    </row>
    <row r="167" spans="1:27" s="181" customFormat="1" ht="21" customHeight="1" x14ac:dyDescent="0.25">
      <c r="A167" s="173"/>
      <c r="B167" s="129"/>
      <c r="C167" s="174" t="s">
        <v>168</v>
      </c>
      <c r="D167" s="175">
        <v>3</v>
      </c>
      <c r="E167" s="129" t="s">
        <v>152</v>
      </c>
      <c r="F167" s="129" t="s">
        <v>157</v>
      </c>
      <c r="G167" s="176"/>
      <c r="H167" s="176"/>
      <c r="I167" s="176"/>
      <c r="J167" s="177"/>
      <c r="K167" s="129"/>
      <c r="L167" s="178"/>
      <c r="M167" s="129"/>
      <c r="N167" s="178"/>
      <c r="O167" s="178"/>
      <c r="P167" s="129"/>
      <c r="Q167" s="179"/>
      <c r="R167" s="179"/>
      <c r="S167" s="179"/>
      <c r="T167" s="179"/>
      <c r="U167" s="179"/>
      <c r="V167" s="180"/>
      <c r="W167" s="180"/>
      <c r="X167" s="180"/>
      <c r="Y167" s="180"/>
      <c r="Z167" s="180"/>
      <c r="AA167" s="129"/>
    </row>
    <row r="168" spans="1:27" s="181" customFormat="1" ht="21" customHeight="1" x14ac:dyDescent="0.25">
      <c r="A168" s="173"/>
      <c r="B168" s="129"/>
      <c r="C168" s="174" t="s">
        <v>169</v>
      </c>
      <c r="D168" s="175">
        <v>2</v>
      </c>
      <c r="E168" s="129" t="s">
        <v>152</v>
      </c>
      <c r="F168" s="129" t="s">
        <v>157</v>
      </c>
      <c r="G168" s="176"/>
      <c r="H168" s="176"/>
      <c r="I168" s="176"/>
      <c r="J168" s="177"/>
      <c r="K168" s="129"/>
      <c r="L168" s="178"/>
      <c r="M168" s="129"/>
      <c r="N168" s="178"/>
      <c r="O168" s="178"/>
      <c r="P168" s="129"/>
      <c r="Q168" s="179"/>
      <c r="R168" s="179"/>
      <c r="S168" s="179"/>
      <c r="T168" s="179"/>
      <c r="U168" s="179"/>
      <c r="V168" s="180"/>
      <c r="W168" s="180"/>
      <c r="X168" s="180"/>
      <c r="Y168" s="180"/>
      <c r="Z168" s="180"/>
      <c r="AA168" s="129"/>
    </row>
    <row r="169" spans="1:27" s="181" customFormat="1" ht="21" customHeight="1" x14ac:dyDescent="0.25">
      <c r="A169" s="173"/>
      <c r="B169" s="129"/>
      <c r="C169" s="174" t="s">
        <v>170</v>
      </c>
      <c r="D169" s="175">
        <v>3</v>
      </c>
      <c r="E169" s="129" t="s">
        <v>152</v>
      </c>
      <c r="F169" s="129" t="s">
        <v>157</v>
      </c>
      <c r="G169" s="176"/>
      <c r="H169" s="176"/>
      <c r="I169" s="176"/>
      <c r="J169" s="177"/>
      <c r="K169" s="129"/>
      <c r="L169" s="178"/>
      <c r="M169" s="129"/>
      <c r="N169" s="178"/>
      <c r="O169" s="178"/>
      <c r="P169" s="129"/>
      <c r="Q169" s="179"/>
      <c r="R169" s="179"/>
      <c r="S169" s="179"/>
      <c r="T169" s="179"/>
      <c r="U169" s="179"/>
      <c r="V169" s="180"/>
      <c r="W169" s="180"/>
      <c r="X169" s="180"/>
      <c r="Y169" s="180"/>
      <c r="Z169" s="180"/>
      <c r="AA169" s="129"/>
    </row>
    <row r="170" spans="1:27" s="7" customFormat="1" ht="21" customHeight="1" x14ac:dyDescent="0.25">
      <c r="A170" s="11"/>
      <c r="B170" s="6"/>
      <c r="C170" s="365" t="s">
        <v>171</v>
      </c>
      <c r="D170" s="8">
        <v>4</v>
      </c>
      <c r="E170" s="6" t="s">
        <v>172</v>
      </c>
      <c r="F170" s="6" t="s">
        <v>173</v>
      </c>
      <c r="G170" s="112">
        <v>800</v>
      </c>
      <c r="H170" s="112">
        <v>0</v>
      </c>
      <c r="I170" s="112">
        <v>0</v>
      </c>
      <c r="J170" s="6">
        <f t="shared" si="69"/>
        <v>0</v>
      </c>
      <c r="K170" s="6"/>
      <c r="L170" s="112">
        <v>8</v>
      </c>
      <c r="M170" s="6">
        <f t="shared" si="71"/>
        <v>96</v>
      </c>
      <c r="N170" s="112">
        <v>36</v>
      </c>
      <c r="O170" s="112">
        <v>14</v>
      </c>
      <c r="P170" s="6">
        <f t="shared" ref="P170" si="86">+N170+O170+18</f>
        <v>68</v>
      </c>
      <c r="Q170" s="113">
        <f t="shared" ref="Q170:U171" si="87">IFERROR(IF(AND((Q$220-$P170)/$M170&gt;0,(Q$220-$P170)/$M170&lt;1),(Q$220-$P170)/$M170,IF((Q$220-$P170)/$M170&gt;0,1,0)),0)</f>
        <v>0</v>
      </c>
      <c r="R170" s="113">
        <f t="shared" si="87"/>
        <v>0</v>
      </c>
      <c r="S170" s="113">
        <f t="shared" si="87"/>
        <v>0</v>
      </c>
      <c r="T170" s="113">
        <f t="shared" si="87"/>
        <v>0</v>
      </c>
      <c r="U170" s="113">
        <f t="shared" si="87"/>
        <v>0</v>
      </c>
      <c r="V170" s="114">
        <f t="shared" si="63"/>
        <v>0</v>
      </c>
      <c r="W170" s="114">
        <f t="shared" si="64"/>
        <v>0</v>
      </c>
      <c r="X170" s="114">
        <f t="shared" si="81"/>
        <v>0</v>
      </c>
      <c r="Y170" s="114">
        <f t="shared" si="82"/>
        <v>0</v>
      </c>
      <c r="Z170" s="114">
        <f t="shared" si="67"/>
        <v>0</v>
      </c>
      <c r="AA170" s="6"/>
    </row>
    <row r="171" spans="1:27" s="7" customFormat="1" ht="21" customHeight="1" x14ac:dyDescent="0.25">
      <c r="A171" s="11"/>
      <c r="B171" s="6"/>
      <c r="C171" s="7" t="s">
        <v>174</v>
      </c>
      <c r="D171" s="8">
        <v>1</v>
      </c>
      <c r="E171" s="6" t="s">
        <v>172</v>
      </c>
      <c r="F171" s="6" t="s">
        <v>175</v>
      </c>
      <c r="G171" s="112">
        <f>130-G172</f>
        <v>58</v>
      </c>
      <c r="H171" s="112">
        <v>0</v>
      </c>
      <c r="I171" s="112">
        <v>0</v>
      </c>
      <c r="J171" s="6">
        <f t="shared" si="69"/>
        <v>58</v>
      </c>
      <c r="K171" s="6"/>
      <c r="L171" s="112">
        <v>1</v>
      </c>
      <c r="M171" s="6">
        <f t="shared" si="71"/>
        <v>12</v>
      </c>
      <c r="N171" s="112">
        <v>10</v>
      </c>
      <c r="O171" s="112">
        <v>14</v>
      </c>
      <c r="P171" s="6">
        <f t="shared" si="61"/>
        <v>42</v>
      </c>
      <c r="Q171" s="113">
        <f t="shared" si="87"/>
        <v>0</v>
      </c>
      <c r="R171" s="113">
        <f t="shared" si="87"/>
        <v>0</v>
      </c>
      <c r="S171" s="113">
        <f t="shared" si="87"/>
        <v>0</v>
      </c>
      <c r="T171" s="113">
        <f t="shared" si="87"/>
        <v>0</v>
      </c>
      <c r="U171" s="113">
        <f t="shared" si="87"/>
        <v>1</v>
      </c>
      <c r="V171" s="114">
        <f t="shared" si="63"/>
        <v>0</v>
      </c>
      <c r="W171" s="114">
        <f t="shared" si="64"/>
        <v>0</v>
      </c>
      <c r="X171" s="114">
        <f t="shared" si="81"/>
        <v>0</v>
      </c>
      <c r="Y171" s="114">
        <f t="shared" si="82"/>
        <v>0</v>
      </c>
      <c r="Z171" s="114">
        <f t="shared" si="67"/>
        <v>58</v>
      </c>
      <c r="AA171" s="6"/>
    </row>
    <row r="172" spans="1:27" s="7" customFormat="1" ht="21" customHeight="1" x14ac:dyDescent="0.25">
      <c r="A172" s="11"/>
      <c r="B172" s="6"/>
      <c r="C172" s="7" t="s">
        <v>176</v>
      </c>
      <c r="D172" s="8">
        <v>1</v>
      </c>
      <c r="E172" s="6" t="s">
        <v>172</v>
      </c>
      <c r="F172" s="6" t="s">
        <v>175</v>
      </c>
      <c r="G172" s="112">
        <v>72</v>
      </c>
      <c r="H172" s="112">
        <v>0</v>
      </c>
      <c r="I172" s="112">
        <f t="shared" si="83"/>
        <v>72</v>
      </c>
      <c r="J172" s="6">
        <f t="shared" si="69"/>
        <v>0</v>
      </c>
      <c r="K172" s="6"/>
      <c r="L172" s="110" t="s">
        <v>306</v>
      </c>
      <c r="M172" s="111"/>
      <c r="N172" s="111"/>
      <c r="O172" s="111"/>
      <c r="P172" s="111"/>
      <c r="Q172" s="111"/>
      <c r="R172" s="111"/>
      <c r="S172" s="111"/>
      <c r="T172" s="111"/>
      <c r="U172" s="111"/>
      <c r="V172" s="112">
        <v>36</v>
      </c>
      <c r="W172" s="112">
        <v>36</v>
      </c>
      <c r="X172" s="112">
        <v>0</v>
      </c>
      <c r="Y172" s="112">
        <v>0</v>
      </c>
      <c r="Z172" s="112">
        <v>0</v>
      </c>
      <c r="AA172" s="6"/>
    </row>
    <row r="173" spans="1:27" s="7" customFormat="1" ht="21" customHeight="1" x14ac:dyDescent="0.25">
      <c r="A173" s="126"/>
      <c r="B173" s="6"/>
      <c r="C173" s="7" t="s">
        <v>177</v>
      </c>
      <c r="D173" s="8">
        <v>3</v>
      </c>
      <c r="E173" s="6" t="s">
        <v>172</v>
      </c>
      <c r="F173" s="6" t="s">
        <v>173</v>
      </c>
      <c r="G173" s="112">
        <v>150</v>
      </c>
      <c r="H173" s="112">
        <v>0</v>
      </c>
      <c r="I173" s="112">
        <v>0</v>
      </c>
      <c r="J173" s="6">
        <f t="shared" si="69"/>
        <v>0</v>
      </c>
      <c r="K173" s="6"/>
      <c r="L173" s="112">
        <v>2</v>
      </c>
      <c r="M173" s="6">
        <f t="shared" si="71"/>
        <v>24</v>
      </c>
      <c r="N173" s="112">
        <v>60</v>
      </c>
      <c r="O173" s="112">
        <v>14</v>
      </c>
      <c r="P173" s="6">
        <f t="shared" ref="P173:P178" si="88">+N173+O173+18</f>
        <v>92</v>
      </c>
      <c r="Q173" s="113">
        <f t="shared" ref="Q173:U175" si="89">IFERROR(IF(AND((Q$220-$P173)/$M173&gt;0,(Q$220-$P173)/$M173&lt;1),(Q$220-$P173)/$M173,IF((Q$220-$P173)/$M173&gt;0,1,0)),0)</f>
        <v>0</v>
      </c>
      <c r="R173" s="113">
        <f t="shared" si="89"/>
        <v>0</v>
      </c>
      <c r="S173" s="113">
        <f t="shared" si="89"/>
        <v>0</v>
      </c>
      <c r="T173" s="113">
        <f t="shared" si="89"/>
        <v>0</v>
      </c>
      <c r="U173" s="113">
        <f t="shared" si="89"/>
        <v>0</v>
      </c>
      <c r="V173" s="114">
        <f t="shared" si="63"/>
        <v>0</v>
      </c>
      <c r="W173" s="114">
        <f t="shared" si="64"/>
        <v>0</v>
      </c>
      <c r="X173" s="114">
        <f t="shared" si="81"/>
        <v>0</v>
      </c>
      <c r="Y173" s="114">
        <f t="shared" si="82"/>
        <v>0</v>
      </c>
      <c r="Z173" s="114">
        <f t="shared" si="67"/>
        <v>0</v>
      </c>
      <c r="AA173" s="6"/>
    </row>
    <row r="174" spans="1:27" s="7" customFormat="1" ht="21" customHeight="1" x14ac:dyDescent="0.25">
      <c r="A174" s="11"/>
      <c r="B174" s="6"/>
      <c r="C174" s="7" t="s">
        <v>178</v>
      </c>
      <c r="D174" s="8">
        <v>3</v>
      </c>
      <c r="E174" s="6" t="s">
        <v>172</v>
      </c>
      <c r="F174" s="6" t="s">
        <v>179</v>
      </c>
      <c r="G174" s="112">
        <v>150</v>
      </c>
      <c r="H174" s="112">
        <v>0</v>
      </c>
      <c r="I174" s="112">
        <v>0</v>
      </c>
      <c r="J174" s="6">
        <f t="shared" si="69"/>
        <v>0</v>
      </c>
      <c r="K174" s="6"/>
      <c r="L174" s="112">
        <v>2</v>
      </c>
      <c r="M174" s="6">
        <f t="shared" si="71"/>
        <v>24</v>
      </c>
      <c r="N174" s="112">
        <v>60</v>
      </c>
      <c r="O174" s="112">
        <v>14</v>
      </c>
      <c r="P174" s="6">
        <f t="shared" si="88"/>
        <v>92</v>
      </c>
      <c r="Q174" s="113">
        <f t="shared" si="89"/>
        <v>0</v>
      </c>
      <c r="R174" s="113">
        <f t="shared" si="89"/>
        <v>0</v>
      </c>
      <c r="S174" s="113">
        <f t="shared" si="89"/>
        <v>0</v>
      </c>
      <c r="T174" s="113">
        <f t="shared" si="89"/>
        <v>0</v>
      </c>
      <c r="U174" s="113">
        <f t="shared" si="89"/>
        <v>0</v>
      </c>
      <c r="V174" s="114">
        <f t="shared" si="63"/>
        <v>0</v>
      </c>
      <c r="W174" s="114">
        <f t="shared" si="64"/>
        <v>0</v>
      </c>
      <c r="X174" s="114">
        <f t="shared" si="81"/>
        <v>0</v>
      </c>
      <c r="Y174" s="114">
        <f t="shared" si="82"/>
        <v>0</v>
      </c>
      <c r="Z174" s="114">
        <f t="shared" si="67"/>
        <v>0</v>
      </c>
      <c r="AA174" s="6"/>
    </row>
    <row r="175" spans="1:27" s="7" customFormat="1" ht="21" customHeight="1" x14ac:dyDescent="0.25">
      <c r="A175" s="11"/>
      <c r="B175" s="6"/>
      <c r="C175" s="365" t="s">
        <v>180</v>
      </c>
      <c r="D175" s="8">
        <v>5</v>
      </c>
      <c r="E175" s="6" t="s">
        <v>172</v>
      </c>
      <c r="F175" s="6" t="s">
        <v>181</v>
      </c>
      <c r="G175" s="112">
        <v>100</v>
      </c>
      <c r="H175" s="112">
        <v>0</v>
      </c>
      <c r="I175" s="112">
        <v>0</v>
      </c>
      <c r="J175" s="6">
        <f t="shared" si="69"/>
        <v>0</v>
      </c>
      <c r="K175" s="6"/>
      <c r="L175" s="112">
        <v>2</v>
      </c>
      <c r="M175" s="6">
        <f t="shared" si="71"/>
        <v>24</v>
      </c>
      <c r="N175" s="112">
        <v>84</v>
      </c>
      <c r="O175" s="112">
        <v>14</v>
      </c>
      <c r="P175" s="6">
        <f t="shared" si="88"/>
        <v>116</v>
      </c>
      <c r="Q175" s="113">
        <f t="shared" si="89"/>
        <v>0</v>
      </c>
      <c r="R175" s="113">
        <f t="shared" si="89"/>
        <v>0</v>
      </c>
      <c r="S175" s="113">
        <f t="shared" si="89"/>
        <v>0</v>
      </c>
      <c r="T175" s="113">
        <f t="shared" si="89"/>
        <v>0</v>
      </c>
      <c r="U175" s="113">
        <f t="shared" si="89"/>
        <v>0</v>
      </c>
      <c r="V175" s="114">
        <f t="shared" si="63"/>
        <v>0</v>
      </c>
      <c r="W175" s="114">
        <f t="shared" si="64"/>
        <v>0</v>
      </c>
      <c r="X175" s="114">
        <f t="shared" si="81"/>
        <v>0</v>
      </c>
      <c r="Y175" s="114">
        <f t="shared" si="82"/>
        <v>0</v>
      </c>
      <c r="Z175" s="114">
        <f t="shared" si="67"/>
        <v>0</v>
      </c>
      <c r="AA175" s="6"/>
    </row>
    <row r="176" spans="1:27" s="7" customFormat="1" ht="21" customHeight="1" x14ac:dyDescent="0.25">
      <c r="A176" s="11"/>
      <c r="B176" s="6"/>
      <c r="C176" s="7" t="s">
        <v>182</v>
      </c>
      <c r="D176" s="8">
        <v>2</v>
      </c>
      <c r="E176" s="6" t="s">
        <v>172</v>
      </c>
      <c r="F176" s="6" t="s">
        <v>181</v>
      </c>
      <c r="G176" s="112">
        <v>8</v>
      </c>
      <c r="H176" s="112">
        <v>0</v>
      </c>
      <c r="I176" s="112">
        <v>0</v>
      </c>
      <c r="J176" s="6">
        <f t="shared" si="69"/>
        <v>8</v>
      </c>
      <c r="K176" s="6"/>
      <c r="L176" s="110" t="s">
        <v>306</v>
      </c>
      <c r="M176" s="111"/>
      <c r="N176" s="111"/>
      <c r="O176" s="111"/>
      <c r="P176" s="111"/>
      <c r="Q176" s="111"/>
      <c r="R176" s="111"/>
      <c r="S176" s="111"/>
      <c r="T176" s="111"/>
      <c r="U176" s="111"/>
      <c r="V176" s="112">
        <v>0</v>
      </c>
      <c r="W176" s="112">
        <v>0</v>
      </c>
      <c r="X176" s="112">
        <v>8</v>
      </c>
      <c r="Y176" s="112">
        <v>0</v>
      </c>
      <c r="Z176" s="112">
        <v>0</v>
      </c>
      <c r="AA176" s="6"/>
    </row>
    <row r="177" spans="1:27" s="7" customFormat="1" ht="21" customHeight="1" x14ac:dyDescent="0.25">
      <c r="A177" s="115"/>
      <c r="B177" s="6"/>
      <c r="C177" s="365" t="s">
        <v>183</v>
      </c>
      <c r="D177" s="8">
        <v>5</v>
      </c>
      <c r="E177" s="6" t="s">
        <v>172</v>
      </c>
      <c r="F177" s="6" t="s">
        <v>184</v>
      </c>
      <c r="G177" s="112">
        <v>92</v>
      </c>
      <c r="H177" s="112">
        <v>0</v>
      </c>
      <c r="I177" s="112">
        <v>0</v>
      </c>
      <c r="J177" s="6">
        <f t="shared" si="69"/>
        <v>0</v>
      </c>
      <c r="K177" s="6"/>
      <c r="L177" s="112">
        <v>1</v>
      </c>
      <c r="M177" s="6">
        <f t="shared" si="71"/>
        <v>12</v>
      </c>
      <c r="N177" s="112">
        <v>48</v>
      </c>
      <c r="O177" s="112">
        <v>14</v>
      </c>
      <c r="P177" s="6">
        <f t="shared" si="88"/>
        <v>80</v>
      </c>
      <c r="Q177" s="113">
        <f t="shared" ref="Q177:U178" si="90">IFERROR(IF(AND((Q$220-$P177)/$M177&gt;0,(Q$220-$P177)/$M177&lt;1),(Q$220-$P177)/$M177,IF((Q$220-$P177)/$M177&gt;0,1,0)),0)</f>
        <v>0</v>
      </c>
      <c r="R177" s="113">
        <f t="shared" si="90"/>
        <v>0</v>
      </c>
      <c r="S177" s="113">
        <f t="shared" si="90"/>
        <v>0</v>
      </c>
      <c r="T177" s="113">
        <f t="shared" si="90"/>
        <v>0</v>
      </c>
      <c r="U177" s="113">
        <f t="shared" si="90"/>
        <v>0</v>
      </c>
      <c r="V177" s="114">
        <f t="shared" si="63"/>
        <v>0</v>
      </c>
      <c r="W177" s="114">
        <f t="shared" si="64"/>
        <v>0</v>
      </c>
      <c r="X177" s="114">
        <f t="shared" si="81"/>
        <v>0</v>
      </c>
      <c r="Y177" s="114">
        <f t="shared" si="82"/>
        <v>0</v>
      </c>
      <c r="Z177" s="114">
        <f t="shared" si="67"/>
        <v>0</v>
      </c>
      <c r="AA177" s="6"/>
    </row>
    <row r="178" spans="1:27" s="7" customFormat="1" ht="21" customHeight="1" x14ac:dyDescent="0.25">
      <c r="A178" s="11"/>
      <c r="B178" s="6"/>
      <c r="C178" s="365" t="s">
        <v>527</v>
      </c>
      <c r="D178" s="8">
        <v>5</v>
      </c>
      <c r="E178" s="6" t="s">
        <v>172</v>
      </c>
      <c r="F178" s="6" t="s">
        <v>179</v>
      </c>
      <c r="G178" s="112">
        <v>0</v>
      </c>
      <c r="H178" s="112">
        <v>0</v>
      </c>
      <c r="I178" s="112">
        <v>0</v>
      </c>
      <c r="J178" s="6">
        <f t="shared" si="69"/>
        <v>0</v>
      </c>
      <c r="K178" s="6"/>
      <c r="L178" s="112">
        <v>1</v>
      </c>
      <c r="M178" s="6">
        <f t="shared" si="71"/>
        <v>12</v>
      </c>
      <c r="N178" s="112">
        <v>48</v>
      </c>
      <c r="O178" s="112">
        <v>14</v>
      </c>
      <c r="P178" s="6">
        <f t="shared" si="88"/>
        <v>80</v>
      </c>
      <c r="Q178" s="113">
        <f t="shared" si="90"/>
        <v>0</v>
      </c>
      <c r="R178" s="113">
        <f t="shared" si="90"/>
        <v>0</v>
      </c>
      <c r="S178" s="113">
        <f t="shared" si="90"/>
        <v>0</v>
      </c>
      <c r="T178" s="113">
        <f t="shared" si="90"/>
        <v>0</v>
      </c>
      <c r="U178" s="113">
        <f t="shared" si="90"/>
        <v>0</v>
      </c>
      <c r="V178" s="114">
        <f t="shared" si="63"/>
        <v>0</v>
      </c>
      <c r="W178" s="114">
        <f t="shared" si="64"/>
        <v>0</v>
      </c>
      <c r="X178" s="114">
        <f t="shared" si="81"/>
        <v>0</v>
      </c>
      <c r="Y178" s="114">
        <f t="shared" si="82"/>
        <v>0</v>
      </c>
      <c r="Z178" s="114">
        <f t="shared" si="67"/>
        <v>0</v>
      </c>
      <c r="AA178" s="6"/>
    </row>
    <row r="179" spans="1:27" s="181" customFormat="1" ht="21" customHeight="1" x14ac:dyDescent="0.25">
      <c r="A179" s="173"/>
      <c r="B179" s="129"/>
      <c r="C179" s="174" t="s">
        <v>185</v>
      </c>
      <c r="D179" s="175">
        <v>2</v>
      </c>
      <c r="E179" s="129" t="s">
        <v>172</v>
      </c>
      <c r="F179" s="129" t="s">
        <v>179</v>
      </c>
      <c r="G179" s="176"/>
      <c r="H179" s="176"/>
      <c r="I179" s="176"/>
      <c r="J179" s="177"/>
      <c r="K179" s="129"/>
      <c r="L179" s="178"/>
      <c r="M179" s="129"/>
      <c r="N179" s="178"/>
      <c r="O179" s="178"/>
      <c r="P179" s="129"/>
      <c r="Q179" s="179"/>
      <c r="R179" s="179"/>
      <c r="S179" s="179"/>
      <c r="T179" s="179"/>
      <c r="U179" s="179"/>
      <c r="V179" s="180"/>
      <c r="W179" s="180"/>
      <c r="X179" s="180"/>
      <c r="Y179" s="180"/>
      <c r="Z179" s="180"/>
      <c r="AA179" s="129"/>
    </row>
    <row r="180" spans="1:27" s="7" customFormat="1" ht="21" customHeight="1" x14ac:dyDescent="0.25">
      <c r="A180" s="11"/>
      <c r="B180" s="6"/>
      <c r="C180" s="7" t="s">
        <v>186</v>
      </c>
      <c r="D180" s="8">
        <v>1</v>
      </c>
      <c r="E180" s="6" t="s">
        <v>187</v>
      </c>
      <c r="F180" s="6" t="s">
        <v>188</v>
      </c>
      <c r="G180" s="112">
        <v>600</v>
      </c>
      <c r="H180" s="112">
        <v>0</v>
      </c>
      <c r="I180" s="112">
        <v>110</v>
      </c>
      <c r="J180" s="6">
        <f t="shared" si="69"/>
        <v>490</v>
      </c>
      <c r="K180" s="6"/>
      <c r="L180" s="110" t="s">
        <v>306</v>
      </c>
      <c r="M180" s="111"/>
      <c r="N180" s="111"/>
      <c r="O180" s="111"/>
      <c r="P180" s="111"/>
      <c r="Q180" s="111"/>
      <c r="R180" s="111"/>
      <c r="S180" s="111"/>
      <c r="T180" s="111"/>
      <c r="U180" s="111"/>
      <c r="V180" s="112">
        <v>0</v>
      </c>
      <c r="W180" s="112">
        <v>45</v>
      </c>
      <c r="X180" s="112">
        <v>65</v>
      </c>
      <c r="Y180" s="112">
        <v>90</v>
      </c>
      <c r="Z180" s="112">
        <v>90</v>
      </c>
      <c r="AA180" s="6"/>
    </row>
    <row r="181" spans="1:27" s="7" customFormat="1" ht="21" customHeight="1" x14ac:dyDescent="0.25">
      <c r="A181" s="11"/>
      <c r="B181" s="6"/>
      <c r="C181" s="7" t="s">
        <v>189</v>
      </c>
      <c r="D181" s="8">
        <v>3</v>
      </c>
      <c r="E181" s="6" t="s">
        <v>187</v>
      </c>
      <c r="F181" s="6" t="s">
        <v>188</v>
      </c>
      <c r="G181" s="112">
        <v>500</v>
      </c>
      <c r="H181" s="112">
        <v>0</v>
      </c>
      <c r="I181" s="112">
        <v>0</v>
      </c>
      <c r="J181" s="6">
        <f t="shared" si="69"/>
        <v>0</v>
      </c>
      <c r="K181" s="6"/>
      <c r="L181" s="112">
        <v>10</v>
      </c>
      <c r="M181" s="6">
        <f t="shared" si="71"/>
        <v>120</v>
      </c>
      <c r="N181" s="112">
        <v>120</v>
      </c>
      <c r="O181" s="112">
        <v>14</v>
      </c>
      <c r="P181" s="6">
        <f t="shared" si="61"/>
        <v>152</v>
      </c>
      <c r="Q181" s="113">
        <f t="shared" ref="Q181:U184" si="91">IFERROR(IF(AND((Q$220-$P181)/$M181&gt;0,(Q$220-$P181)/$M181&lt;1),(Q$220-$P181)/$M181,IF((Q$220-$P181)/$M181&gt;0,1,0)),0)</f>
        <v>0</v>
      </c>
      <c r="R181" s="113">
        <f t="shared" si="91"/>
        <v>0</v>
      </c>
      <c r="S181" s="113">
        <f t="shared" si="91"/>
        <v>0</v>
      </c>
      <c r="T181" s="113">
        <f t="shared" si="91"/>
        <v>0</v>
      </c>
      <c r="U181" s="113">
        <f t="shared" si="91"/>
        <v>0</v>
      </c>
      <c r="V181" s="114">
        <f t="shared" si="63"/>
        <v>0</v>
      </c>
      <c r="W181" s="114">
        <f t="shared" si="64"/>
        <v>0</v>
      </c>
      <c r="X181" s="114">
        <f t="shared" si="81"/>
        <v>0</v>
      </c>
      <c r="Y181" s="114">
        <f t="shared" si="82"/>
        <v>0</v>
      </c>
      <c r="Z181" s="114">
        <f t="shared" si="67"/>
        <v>0</v>
      </c>
      <c r="AA181" s="6"/>
    </row>
    <row r="182" spans="1:27" s="7" customFormat="1" ht="21" customHeight="1" x14ac:dyDescent="0.25">
      <c r="A182" s="11"/>
      <c r="B182" s="6"/>
      <c r="C182" s="365" t="s">
        <v>190</v>
      </c>
      <c r="D182" s="8">
        <v>5</v>
      </c>
      <c r="E182" s="6" t="s">
        <v>187</v>
      </c>
      <c r="F182" s="6" t="s">
        <v>191</v>
      </c>
      <c r="G182" s="112">
        <v>1500</v>
      </c>
      <c r="H182" s="112">
        <v>0</v>
      </c>
      <c r="I182" s="112">
        <v>0</v>
      </c>
      <c r="J182" s="6">
        <f t="shared" si="69"/>
        <v>0</v>
      </c>
      <c r="K182" s="6"/>
      <c r="L182" s="112">
        <v>20</v>
      </c>
      <c r="M182" s="6">
        <f t="shared" si="71"/>
        <v>240</v>
      </c>
      <c r="N182" s="112">
        <v>120</v>
      </c>
      <c r="O182" s="112">
        <v>14</v>
      </c>
      <c r="P182" s="6">
        <f t="shared" ref="P182:P184" si="92">+N182+O182+18</f>
        <v>152</v>
      </c>
      <c r="Q182" s="113">
        <f t="shared" si="91"/>
        <v>0</v>
      </c>
      <c r="R182" s="113">
        <f t="shared" si="91"/>
        <v>0</v>
      </c>
      <c r="S182" s="113">
        <f t="shared" si="91"/>
        <v>0</v>
      </c>
      <c r="T182" s="113">
        <f t="shared" si="91"/>
        <v>0</v>
      </c>
      <c r="U182" s="113">
        <f t="shared" si="91"/>
        <v>0</v>
      </c>
      <c r="V182" s="114">
        <f t="shared" ref="V182:V202" si="93">Q182*($G182-$H182)</f>
        <v>0</v>
      </c>
      <c r="W182" s="114">
        <f t="shared" ref="W182:W202" si="94">R182*($G182-$H182)-V182</f>
        <v>0</v>
      </c>
      <c r="X182" s="114">
        <f t="shared" si="81"/>
        <v>0</v>
      </c>
      <c r="Y182" s="114">
        <f t="shared" si="82"/>
        <v>0</v>
      </c>
      <c r="Z182" s="114">
        <f t="shared" ref="Z182:Z202" si="95">U182*($G182-$H182)-SUM(V182:Y182)</f>
        <v>0</v>
      </c>
      <c r="AA182" s="6"/>
    </row>
    <row r="183" spans="1:27" s="7" customFormat="1" ht="21" customHeight="1" x14ac:dyDescent="0.25">
      <c r="A183" s="11"/>
      <c r="B183" s="6"/>
      <c r="C183" s="365" t="s">
        <v>192</v>
      </c>
      <c r="D183" s="8">
        <v>4</v>
      </c>
      <c r="E183" s="6" t="s">
        <v>187</v>
      </c>
      <c r="F183" s="6" t="s">
        <v>193</v>
      </c>
      <c r="G183" s="112">
        <v>50</v>
      </c>
      <c r="H183" s="112">
        <v>0</v>
      </c>
      <c r="I183" s="112">
        <v>0</v>
      </c>
      <c r="J183" s="6">
        <f t="shared" si="69"/>
        <v>0</v>
      </c>
      <c r="K183" s="6"/>
      <c r="L183" s="112">
        <v>1</v>
      </c>
      <c r="M183" s="6">
        <f t="shared" si="71"/>
        <v>12</v>
      </c>
      <c r="N183" s="112">
        <v>24</v>
      </c>
      <c r="O183" s="112">
        <v>14</v>
      </c>
      <c r="P183" s="6">
        <f t="shared" si="92"/>
        <v>56</v>
      </c>
      <c r="Q183" s="113">
        <f t="shared" si="91"/>
        <v>0</v>
      </c>
      <c r="R183" s="113">
        <f t="shared" si="91"/>
        <v>0</v>
      </c>
      <c r="S183" s="113">
        <f t="shared" si="91"/>
        <v>0</v>
      </c>
      <c r="T183" s="113">
        <f t="shared" si="91"/>
        <v>0</v>
      </c>
      <c r="U183" s="113">
        <f t="shared" si="91"/>
        <v>0</v>
      </c>
      <c r="V183" s="114">
        <f t="shared" si="93"/>
        <v>0</v>
      </c>
      <c r="W183" s="114">
        <f t="shared" si="94"/>
        <v>0</v>
      </c>
      <c r="X183" s="114">
        <f t="shared" si="81"/>
        <v>0</v>
      </c>
      <c r="Y183" s="114">
        <f t="shared" si="82"/>
        <v>0</v>
      </c>
      <c r="Z183" s="114">
        <f t="shared" si="95"/>
        <v>0</v>
      </c>
      <c r="AA183" s="6"/>
    </row>
    <row r="184" spans="1:27" s="7" customFormat="1" ht="21" customHeight="1" x14ac:dyDescent="0.25">
      <c r="A184" s="11"/>
      <c r="B184" s="6"/>
      <c r="C184" s="365" t="s">
        <v>194</v>
      </c>
      <c r="D184" s="8">
        <v>5</v>
      </c>
      <c r="E184" s="6" t="s">
        <v>187</v>
      </c>
      <c r="F184" s="6" t="s">
        <v>195</v>
      </c>
      <c r="G184" s="112">
        <v>50</v>
      </c>
      <c r="H184" s="112">
        <v>0</v>
      </c>
      <c r="I184" s="112">
        <v>0</v>
      </c>
      <c r="J184" s="6">
        <f t="shared" si="69"/>
        <v>0</v>
      </c>
      <c r="K184" s="6"/>
      <c r="L184" s="112">
        <v>1</v>
      </c>
      <c r="M184" s="6">
        <f t="shared" si="71"/>
        <v>12</v>
      </c>
      <c r="N184" s="112">
        <v>24</v>
      </c>
      <c r="O184" s="112">
        <v>14</v>
      </c>
      <c r="P184" s="6">
        <f t="shared" si="92"/>
        <v>56</v>
      </c>
      <c r="Q184" s="113">
        <f t="shared" si="91"/>
        <v>0</v>
      </c>
      <c r="R184" s="113">
        <f t="shared" si="91"/>
        <v>0</v>
      </c>
      <c r="S184" s="113">
        <f t="shared" si="91"/>
        <v>0</v>
      </c>
      <c r="T184" s="113">
        <f t="shared" si="91"/>
        <v>0</v>
      </c>
      <c r="U184" s="113">
        <f t="shared" si="91"/>
        <v>0</v>
      </c>
      <c r="V184" s="114">
        <f t="shared" si="93"/>
        <v>0</v>
      </c>
      <c r="W184" s="114">
        <f t="shared" si="94"/>
        <v>0</v>
      </c>
      <c r="X184" s="114">
        <f t="shared" si="81"/>
        <v>0</v>
      </c>
      <c r="Y184" s="114">
        <f t="shared" si="82"/>
        <v>0</v>
      </c>
      <c r="Z184" s="114">
        <f t="shared" si="95"/>
        <v>0</v>
      </c>
      <c r="AA184" s="6"/>
    </row>
    <row r="185" spans="1:27" s="132" customFormat="1" ht="21" customHeight="1" x14ac:dyDescent="0.25">
      <c r="A185" s="11"/>
      <c r="B185" s="6"/>
      <c r="C185" s="132" t="s">
        <v>196</v>
      </c>
      <c r="D185" s="133">
        <v>1</v>
      </c>
      <c r="E185" s="133" t="s">
        <v>187</v>
      </c>
      <c r="F185" s="133" t="s">
        <v>188</v>
      </c>
      <c r="G185" s="133">
        <v>96</v>
      </c>
      <c r="H185" s="133">
        <v>96</v>
      </c>
      <c r="I185" s="133">
        <f t="shared" si="83"/>
        <v>0</v>
      </c>
      <c r="J185" s="133">
        <f t="shared" si="69"/>
        <v>0</v>
      </c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7"/>
      <c r="W185" s="137"/>
      <c r="X185" s="137"/>
      <c r="Y185" s="137"/>
      <c r="Z185" s="137"/>
      <c r="AA185" s="133"/>
    </row>
    <row r="186" spans="1:27" s="7" customFormat="1" ht="21" customHeight="1" x14ac:dyDescent="0.25">
      <c r="A186" s="11"/>
      <c r="B186" s="6"/>
      <c r="C186" s="365" t="s">
        <v>197</v>
      </c>
      <c r="D186" s="8">
        <v>5</v>
      </c>
      <c r="E186" s="6" t="s">
        <v>187</v>
      </c>
      <c r="F186" s="6" t="s">
        <v>198</v>
      </c>
      <c r="G186" s="112">
        <v>40</v>
      </c>
      <c r="H186" s="112">
        <v>0</v>
      </c>
      <c r="I186" s="112">
        <v>0</v>
      </c>
      <c r="J186" s="6">
        <f t="shared" si="69"/>
        <v>0</v>
      </c>
      <c r="K186" s="6"/>
      <c r="L186" s="112">
        <v>1</v>
      </c>
      <c r="M186" s="6">
        <f t="shared" si="71"/>
        <v>12</v>
      </c>
      <c r="N186" s="112">
        <v>48</v>
      </c>
      <c r="O186" s="112">
        <v>14</v>
      </c>
      <c r="P186" s="6">
        <f t="shared" ref="P186:P190" si="96">+N186+O186+18</f>
        <v>80</v>
      </c>
      <c r="Q186" s="113">
        <f t="shared" ref="Q186:U190" si="97">IFERROR(IF(AND((Q$220-$P186)/$M186&gt;0,(Q$220-$P186)/$M186&lt;1),(Q$220-$P186)/$M186,IF((Q$220-$P186)/$M186&gt;0,1,0)),0)</f>
        <v>0</v>
      </c>
      <c r="R186" s="113">
        <f t="shared" si="97"/>
        <v>0</v>
      </c>
      <c r="S186" s="113">
        <f t="shared" si="97"/>
        <v>0</v>
      </c>
      <c r="T186" s="113">
        <f t="shared" si="97"/>
        <v>0</v>
      </c>
      <c r="U186" s="113">
        <f t="shared" si="97"/>
        <v>0</v>
      </c>
      <c r="V186" s="114">
        <f t="shared" si="93"/>
        <v>0</v>
      </c>
      <c r="W186" s="114">
        <f t="shared" si="94"/>
        <v>0</v>
      </c>
      <c r="X186" s="114">
        <f t="shared" si="81"/>
        <v>0</v>
      </c>
      <c r="Y186" s="114">
        <f t="shared" si="82"/>
        <v>0</v>
      </c>
      <c r="Z186" s="114">
        <f t="shared" si="95"/>
        <v>0</v>
      </c>
      <c r="AA186" s="6"/>
    </row>
    <row r="187" spans="1:27" s="7" customFormat="1" ht="21" customHeight="1" x14ac:dyDescent="0.25">
      <c r="A187" s="11"/>
      <c r="B187" s="6"/>
      <c r="C187" s="365" t="s">
        <v>199</v>
      </c>
      <c r="D187" s="8">
        <v>5</v>
      </c>
      <c r="E187" s="6" t="s">
        <v>187</v>
      </c>
      <c r="F187" s="6" t="s">
        <v>193</v>
      </c>
      <c r="G187" s="112">
        <v>20</v>
      </c>
      <c r="H187" s="112">
        <v>0</v>
      </c>
      <c r="I187" s="112">
        <v>0</v>
      </c>
      <c r="J187" s="6">
        <f t="shared" si="69"/>
        <v>0</v>
      </c>
      <c r="K187" s="6"/>
      <c r="L187" s="112">
        <v>0.5</v>
      </c>
      <c r="M187" s="6">
        <f t="shared" si="71"/>
        <v>6</v>
      </c>
      <c r="N187" s="112">
        <v>48</v>
      </c>
      <c r="O187" s="112">
        <v>14</v>
      </c>
      <c r="P187" s="6">
        <f t="shared" si="96"/>
        <v>80</v>
      </c>
      <c r="Q187" s="113">
        <f t="shared" si="97"/>
        <v>0</v>
      </c>
      <c r="R187" s="113">
        <f t="shared" si="97"/>
        <v>0</v>
      </c>
      <c r="S187" s="113">
        <f t="shared" si="97"/>
        <v>0</v>
      </c>
      <c r="T187" s="113">
        <f t="shared" si="97"/>
        <v>0</v>
      </c>
      <c r="U187" s="113">
        <f t="shared" si="97"/>
        <v>0</v>
      </c>
      <c r="V187" s="114">
        <f t="shared" si="93"/>
        <v>0</v>
      </c>
      <c r="W187" s="114">
        <f t="shared" si="94"/>
        <v>0</v>
      </c>
      <c r="X187" s="114">
        <f t="shared" si="81"/>
        <v>0</v>
      </c>
      <c r="Y187" s="114">
        <f t="shared" si="82"/>
        <v>0</v>
      </c>
      <c r="Z187" s="114">
        <f t="shared" si="95"/>
        <v>0</v>
      </c>
      <c r="AA187" s="6"/>
    </row>
    <row r="188" spans="1:27" s="7" customFormat="1" ht="21" customHeight="1" x14ac:dyDescent="0.25">
      <c r="A188" s="11"/>
      <c r="B188" s="6"/>
      <c r="C188" s="365" t="s">
        <v>200</v>
      </c>
      <c r="D188" s="8">
        <v>5</v>
      </c>
      <c r="E188" s="6" t="s">
        <v>187</v>
      </c>
      <c r="F188" s="6" t="s">
        <v>201</v>
      </c>
      <c r="G188" s="112">
        <v>100</v>
      </c>
      <c r="H188" s="112">
        <v>0</v>
      </c>
      <c r="I188" s="112">
        <v>0</v>
      </c>
      <c r="J188" s="6">
        <f t="shared" si="69"/>
        <v>0</v>
      </c>
      <c r="K188" s="6"/>
      <c r="L188" s="112">
        <v>4</v>
      </c>
      <c r="M188" s="6">
        <f t="shared" si="71"/>
        <v>48</v>
      </c>
      <c r="N188" s="112">
        <v>84</v>
      </c>
      <c r="O188" s="112">
        <v>14</v>
      </c>
      <c r="P188" s="6">
        <f t="shared" si="96"/>
        <v>116</v>
      </c>
      <c r="Q188" s="113">
        <f t="shared" si="97"/>
        <v>0</v>
      </c>
      <c r="R188" s="113">
        <f t="shared" si="97"/>
        <v>0</v>
      </c>
      <c r="S188" s="113">
        <f t="shared" si="97"/>
        <v>0</v>
      </c>
      <c r="T188" s="113">
        <f t="shared" si="97"/>
        <v>0</v>
      </c>
      <c r="U188" s="113">
        <f t="shared" si="97"/>
        <v>0</v>
      </c>
      <c r="V188" s="114">
        <f t="shared" si="93"/>
        <v>0</v>
      </c>
      <c r="W188" s="114">
        <f t="shared" si="94"/>
        <v>0</v>
      </c>
      <c r="X188" s="114">
        <f t="shared" si="81"/>
        <v>0</v>
      </c>
      <c r="Y188" s="114">
        <f t="shared" si="82"/>
        <v>0</v>
      </c>
      <c r="Z188" s="114">
        <f t="shared" si="95"/>
        <v>0</v>
      </c>
      <c r="AA188" s="6"/>
    </row>
    <row r="189" spans="1:27" s="7" customFormat="1" ht="21" customHeight="1" x14ac:dyDescent="0.25">
      <c r="A189" s="115"/>
      <c r="B189" s="6"/>
      <c r="C189" s="365" t="s">
        <v>202</v>
      </c>
      <c r="D189" s="8">
        <v>5</v>
      </c>
      <c r="E189" s="6" t="s">
        <v>187</v>
      </c>
      <c r="F189" s="6" t="s">
        <v>201</v>
      </c>
      <c r="G189" s="112">
        <v>300</v>
      </c>
      <c r="H189" s="112">
        <v>0</v>
      </c>
      <c r="I189" s="112">
        <v>0</v>
      </c>
      <c r="J189" s="6">
        <f t="shared" si="69"/>
        <v>0</v>
      </c>
      <c r="K189" s="6"/>
      <c r="L189" s="112">
        <v>8</v>
      </c>
      <c r="M189" s="6">
        <f t="shared" si="71"/>
        <v>96</v>
      </c>
      <c r="N189" s="112">
        <v>96</v>
      </c>
      <c r="O189" s="112">
        <v>14</v>
      </c>
      <c r="P189" s="6">
        <f t="shared" si="96"/>
        <v>128</v>
      </c>
      <c r="Q189" s="113">
        <f t="shared" si="97"/>
        <v>0</v>
      </c>
      <c r="R189" s="113">
        <f t="shared" si="97"/>
        <v>0</v>
      </c>
      <c r="S189" s="113">
        <f t="shared" si="97"/>
        <v>0</v>
      </c>
      <c r="T189" s="113">
        <f t="shared" si="97"/>
        <v>0</v>
      </c>
      <c r="U189" s="113">
        <f t="shared" si="97"/>
        <v>0</v>
      </c>
      <c r="V189" s="114">
        <f t="shared" si="93"/>
        <v>0</v>
      </c>
      <c r="W189" s="114">
        <f t="shared" si="94"/>
        <v>0</v>
      </c>
      <c r="X189" s="114">
        <f t="shared" si="81"/>
        <v>0</v>
      </c>
      <c r="Y189" s="114">
        <f t="shared" si="82"/>
        <v>0</v>
      </c>
      <c r="Z189" s="114">
        <f t="shared" si="95"/>
        <v>0</v>
      </c>
      <c r="AA189" s="6"/>
    </row>
    <row r="190" spans="1:27" s="7" customFormat="1" ht="21" customHeight="1" x14ac:dyDescent="0.25">
      <c r="A190" s="115"/>
      <c r="B190" s="6"/>
      <c r="C190" s="365" t="s">
        <v>203</v>
      </c>
      <c r="D190" s="8">
        <v>4</v>
      </c>
      <c r="E190" s="6" t="s">
        <v>187</v>
      </c>
      <c r="F190" s="6" t="s">
        <v>201</v>
      </c>
      <c r="G190" s="112">
        <v>100</v>
      </c>
      <c r="H190" s="112">
        <v>0</v>
      </c>
      <c r="I190" s="112">
        <v>0</v>
      </c>
      <c r="J190" s="6">
        <f t="shared" si="69"/>
        <v>0</v>
      </c>
      <c r="K190" s="6"/>
      <c r="L190" s="112">
        <v>4</v>
      </c>
      <c r="M190" s="6">
        <f t="shared" si="71"/>
        <v>48</v>
      </c>
      <c r="N190" s="112">
        <v>108</v>
      </c>
      <c r="O190" s="112">
        <v>14</v>
      </c>
      <c r="P190" s="6">
        <f t="shared" si="96"/>
        <v>140</v>
      </c>
      <c r="Q190" s="113">
        <f t="shared" si="97"/>
        <v>0</v>
      </c>
      <c r="R190" s="113">
        <f t="shared" si="97"/>
        <v>0</v>
      </c>
      <c r="S190" s="113">
        <f t="shared" si="97"/>
        <v>0</v>
      </c>
      <c r="T190" s="113">
        <f t="shared" si="97"/>
        <v>0</v>
      </c>
      <c r="U190" s="113">
        <f t="shared" si="97"/>
        <v>0</v>
      </c>
      <c r="V190" s="114">
        <f t="shared" si="93"/>
        <v>0</v>
      </c>
      <c r="W190" s="114">
        <f t="shared" si="94"/>
        <v>0</v>
      </c>
      <c r="X190" s="114">
        <f t="shared" si="81"/>
        <v>0</v>
      </c>
      <c r="Y190" s="114">
        <f t="shared" si="82"/>
        <v>0</v>
      </c>
      <c r="Z190" s="114">
        <f t="shared" si="95"/>
        <v>0</v>
      </c>
      <c r="AA190" s="6"/>
    </row>
    <row r="191" spans="1:27" s="181" customFormat="1" ht="21" customHeight="1" x14ac:dyDescent="0.25">
      <c r="A191" s="173"/>
      <c r="B191" s="129"/>
      <c r="C191" s="174" t="s">
        <v>204</v>
      </c>
      <c r="D191" s="175">
        <v>2</v>
      </c>
      <c r="E191" s="129" t="s">
        <v>187</v>
      </c>
      <c r="F191" s="129">
        <v>0</v>
      </c>
      <c r="G191" s="176"/>
      <c r="H191" s="176"/>
      <c r="I191" s="176"/>
      <c r="J191" s="177"/>
      <c r="K191" s="129"/>
      <c r="L191" s="178"/>
      <c r="M191" s="129"/>
      <c r="N191" s="178"/>
      <c r="O191" s="178"/>
      <c r="P191" s="129"/>
      <c r="Q191" s="179"/>
      <c r="R191" s="179"/>
      <c r="S191" s="179"/>
      <c r="T191" s="179"/>
      <c r="U191" s="179"/>
      <c r="V191" s="180"/>
      <c r="W191" s="180"/>
      <c r="X191" s="180"/>
      <c r="Y191" s="180"/>
      <c r="Z191" s="180"/>
      <c r="AA191" s="129"/>
    </row>
    <row r="192" spans="1:27" s="181" customFormat="1" ht="21" customHeight="1" x14ac:dyDescent="0.25">
      <c r="A192" s="173"/>
      <c r="B192" s="129"/>
      <c r="C192" s="174" t="s">
        <v>205</v>
      </c>
      <c r="D192" s="175">
        <v>2</v>
      </c>
      <c r="E192" s="129" t="s">
        <v>187</v>
      </c>
      <c r="F192" s="129">
        <v>0</v>
      </c>
      <c r="G192" s="176"/>
      <c r="H192" s="176"/>
      <c r="I192" s="176"/>
      <c r="J192" s="177"/>
      <c r="K192" s="129"/>
      <c r="L192" s="178"/>
      <c r="M192" s="129"/>
      <c r="N192" s="178"/>
      <c r="O192" s="178"/>
      <c r="P192" s="129"/>
      <c r="Q192" s="179"/>
      <c r="R192" s="179"/>
      <c r="S192" s="179"/>
      <c r="T192" s="179"/>
      <c r="U192" s="179"/>
      <c r="V192" s="180"/>
      <c r="W192" s="180"/>
      <c r="X192" s="180"/>
      <c r="Y192" s="180"/>
      <c r="Z192" s="180"/>
      <c r="AA192" s="129"/>
    </row>
    <row r="193" spans="1:27" s="181" customFormat="1" ht="21" customHeight="1" x14ac:dyDescent="0.25">
      <c r="A193" s="173"/>
      <c r="B193" s="129"/>
      <c r="C193" s="174" t="s">
        <v>206</v>
      </c>
      <c r="D193" s="175">
        <v>1</v>
      </c>
      <c r="E193" s="129" t="s">
        <v>187</v>
      </c>
      <c r="F193" s="129">
        <v>0</v>
      </c>
      <c r="G193" s="176"/>
      <c r="H193" s="176"/>
      <c r="I193" s="176"/>
      <c r="J193" s="177"/>
      <c r="K193" s="129"/>
      <c r="L193" s="178"/>
      <c r="M193" s="129"/>
      <c r="N193" s="178"/>
      <c r="O193" s="178"/>
      <c r="P193" s="129"/>
      <c r="Q193" s="179"/>
      <c r="R193" s="179"/>
      <c r="S193" s="179"/>
      <c r="T193" s="179"/>
      <c r="U193" s="179"/>
      <c r="V193" s="180"/>
      <c r="W193" s="180"/>
      <c r="X193" s="180"/>
      <c r="Y193" s="180"/>
      <c r="Z193" s="180"/>
      <c r="AA193" s="129"/>
    </row>
    <row r="194" spans="1:27" s="181" customFormat="1" ht="21" customHeight="1" x14ac:dyDescent="0.25">
      <c r="A194" s="173"/>
      <c r="B194" s="129"/>
      <c r="C194" s="174" t="s">
        <v>207</v>
      </c>
      <c r="D194" s="175">
        <v>4</v>
      </c>
      <c r="E194" s="129" t="s">
        <v>187</v>
      </c>
      <c r="F194" s="129">
        <v>0</v>
      </c>
      <c r="G194" s="176"/>
      <c r="H194" s="176"/>
      <c r="I194" s="176"/>
      <c r="J194" s="177"/>
      <c r="K194" s="129"/>
      <c r="L194" s="178"/>
      <c r="M194" s="129"/>
      <c r="N194" s="178"/>
      <c r="O194" s="178"/>
      <c r="P194" s="129"/>
      <c r="Q194" s="179"/>
      <c r="R194" s="179"/>
      <c r="S194" s="179"/>
      <c r="T194" s="179"/>
      <c r="U194" s="179"/>
      <c r="V194" s="180"/>
      <c r="W194" s="180"/>
      <c r="X194" s="180"/>
      <c r="Y194" s="180"/>
      <c r="Z194" s="180"/>
      <c r="AA194" s="129"/>
    </row>
    <row r="195" spans="1:27" s="181" customFormat="1" ht="21" customHeight="1" x14ac:dyDescent="0.25">
      <c r="A195" s="173"/>
      <c r="B195" s="129"/>
      <c r="C195" s="174" t="s">
        <v>208</v>
      </c>
      <c r="D195" s="175">
        <v>4</v>
      </c>
      <c r="E195" s="129" t="s">
        <v>187</v>
      </c>
      <c r="F195" s="129">
        <v>0</v>
      </c>
      <c r="G195" s="176"/>
      <c r="H195" s="176"/>
      <c r="I195" s="176"/>
      <c r="J195" s="177"/>
      <c r="K195" s="129"/>
      <c r="L195" s="178"/>
      <c r="M195" s="129"/>
      <c r="N195" s="178"/>
      <c r="O195" s="178"/>
      <c r="P195" s="129"/>
      <c r="Q195" s="179"/>
      <c r="R195" s="179"/>
      <c r="S195" s="179"/>
      <c r="T195" s="179"/>
      <c r="U195" s="179"/>
      <c r="V195" s="180"/>
      <c r="W195" s="180"/>
      <c r="X195" s="180"/>
      <c r="Y195" s="180"/>
      <c r="Z195" s="180"/>
      <c r="AA195" s="129"/>
    </row>
    <row r="196" spans="1:27" s="7" customFormat="1" ht="21" customHeight="1" x14ac:dyDescent="0.25">
      <c r="A196" s="13"/>
      <c r="B196" s="6"/>
      <c r="C196" s="7" t="s">
        <v>209</v>
      </c>
      <c r="D196" s="8">
        <v>1</v>
      </c>
      <c r="E196" s="6" t="s">
        <v>210</v>
      </c>
      <c r="F196" s="6" t="s">
        <v>211</v>
      </c>
      <c r="G196" s="112">
        <v>56</v>
      </c>
      <c r="H196" s="112">
        <v>0</v>
      </c>
      <c r="I196" s="112">
        <v>56</v>
      </c>
      <c r="J196" s="6">
        <f t="shared" si="69"/>
        <v>0</v>
      </c>
      <c r="K196" s="6"/>
      <c r="L196" s="112">
        <v>2</v>
      </c>
      <c r="M196" s="6">
        <f t="shared" si="71"/>
        <v>24</v>
      </c>
      <c r="N196" s="112">
        <v>0</v>
      </c>
      <c r="O196" s="112">
        <v>0</v>
      </c>
      <c r="P196" s="6">
        <f t="shared" ref="P196:P202" si="98">+N196+O196+18</f>
        <v>18</v>
      </c>
      <c r="Q196" s="113">
        <f t="shared" ref="Q196:U202" si="99">IFERROR(IF(AND((Q$220-$P196)/$M196&gt;0,(Q$220-$P196)/$M196&lt;1),(Q$220-$P196)/$M196,IF((Q$220-$P196)/$M196&gt;0,1,0)),0)</f>
        <v>0</v>
      </c>
      <c r="R196" s="113">
        <f t="shared" si="99"/>
        <v>0</v>
      </c>
      <c r="S196" s="113">
        <f t="shared" si="99"/>
        <v>0.5</v>
      </c>
      <c r="T196" s="113">
        <f t="shared" si="99"/>
        <v>1</v>
      </c>
      <c r="U196" s="113">
        <f t="shared" si="99"/>
        <v>1</v>
      </c>
      <c r="V196" s="114">
        <f t="shared" si="93"/>
        <v>0</v>
      </c>
      <c r="W196" s="114">
        <f t="shared" si="94"/>
        <v>0</v>
      </c>
      <c r="X196" s="114">
        <f t="shared" si="81"/>
        <v>28</v>
      </c>
      <c r="Y196" s="114">
        <f t="shared" si="82"/>
        <v>28</v>
      </c>
      <c r="Z196" s="114">
        <f t="shared" si="95"/>
        <v>0</v>
      </c>
      <c r="AA196" s="6"/>
    </row>
    <row r="197" spans="1:27" s="7" customFormat="1" ht="21" customHeight="1" x14ac:dyDescent="0.25">
      <c r="A197" s="13"/>
      <c r="B197" s="6"/>
      <c r="C197" s="365" t="s">
        <v>212</v>
      </c>
      <c r="D197" s="8">
        <v>4</v>
      </c>
      <c r="E197" s="6" t="s">
        <v>210</v>
      </c>
      <c r="F197" s="6" t="s">
        <v>213</v>
      </c>
      <c r="G197" s="112">
        <v>50</v>
      </c>
      <c r="H197" s="112">
        <v>0</v>
      </c>
      <c r="I197" s="112">
        <v>0</v>
      </c>
      <c r="J197" s="6">
        <f t="shared" si="69"/>
        <v>0</v>
      </c>
      <c r="K197" s="6"/>
      <c r="L197" s="112">
        <v>1.5</v>
      </c>
      <c r="M197" s="6">
        <f t="shared" si="71"/>
        <v>18</v>
      </c>
      <c r="N197" s="112">
        <v>60</v>
      </c>
      <c r="O197" s="112">
        <v>14</v>
      </c>
      <c r="P197" s="6">
        <f t="shared" si="98"/>
        <v>92</v>
      </c>
      <c r="Q197" s="113">
        <f t="shared" si="99"/>
        <v>0</v>
      </c>
      <c r="R197" s="113">
        <f t="shared" si="99"/>
        <v>0</v>
      </c>
      <c r="S197" s="113">
        <f t="shared" si="99"/>
        <v>0</v>
      </c>
      <c r="T197" s="113">
        <f t="shared" si="99"/>
        <v>0</v>
      </c>
      <c r="U197" s="113">
        <f t="shared" si="99"/>
        <v>0</v>
      </c>
      <c r="V197" s="114">
        <f t="shared" si="93"/>
        <v>0</v>
      </c>
      <c r="W197" s="114">
        <f t="shared" si="94"/>
        <v>0</v>
      </c>
      <c r="X197" s="114">
        <f t="shared" si="81"/>
        <v>0</v>
      </c>
      <c r="Y197" s="114">
        <f t="shared" si="82"/>
        <v>0</v>
      </c>
      <c r="Z197" s="114">
        <f t="shared" si="95"/>
        <v>0</v>
      </c>
      <c r="AA197" s="6"/>
    </row>
    <row r="198" spans="1:27" s="7" customFormat="1" ht="21" customHeight="1" x14ac:dyDescent="0.25">
      <c r="A198" s="13"/>
      <c r="B198" s="6"/>
      <c r="C198" s="7" t="s">
        <v>214</v>
      </c>
      <c r="D198" s="8">
        <v>1</v>
      </c>
      <c r="E198" s="6" t="s">
        <v>210</v>
      </c>
      <c r="F198" s="6" t="s">
        <v>211</v>
      </c>
      <c r="G198" s="112">
        <v>8</v>
      </c>
      <c r="H198" s="112">
        <v>0</v>
      </c>
      <c r="I198" s="112">
        <v>4</v>
      </c>
      <c r="J198" s="6">
        <f t="shared" si="69"/>
        <v>4</v>
      </c>
      <c r="K198" s="6"/>
      <c r="L198" s="112">
        <v>2</v>
      </c>
      <c r="M198" s="6">
        <f t="shared" si="71"/>
        <v>24</v>
      </c>
      <c r="N198" s="112">
        <v>-18</v>
      </c>
      <c r="O198" s="112">
        <v>0</v>
      </c>
      <c r="P198" s="6">
        <f t="shared" si="98"/>
        <v>0</v>
      </c>
      <c r="Q198" s="113">
        <f t="shared" si="99"/>
        <v>0.25</v>
      </c>
      <c r="R198" s="113">
        <f t="shared" si="99"/>
        <v>0.75</v>
      </c>
      <c r="S198" s="113">
        <f t="shared" si="99"/>
        <v>1</v>
      </c>
      <c r="T198" s="113">
        <f t="shared" si="99"/>
        <v>1</v>
      </c>
      <c r="U198" s="113">
        <f t="shared" si="99"/>
        <v>1</v>
      </c>
      <c r="V198" s="114">
        <f t="shared" si="93"/>
        <v>2</v>
      </c>
      <c r="W198" s="114">
        <f t="shared" si="94"/>
        <v>4</v>
      </c>
      <c r="X198" s="114">
        <f t="shared" si="81"/>
        <v>2</v>
      </c>
      <c r="Y198" s="114">
        <f t="shared" si="82"/>
        <v>0</v>
      </c>
      <c r="Z198" s="114">
        <f t="shared" si="95"/>
        <v>0</v>
      </c>
      <c r="AA198" s="6"/>
    </row>
    <row r="199" spans="1:27" s="7" customFormat="1" ht="21" customHeight="1" x14ac:dyDescent="0.25">
      <c r="A199" s="13"/>
      <c r="B199" s="6"/>
      <c r="C199" s="7" t="s">
        <v>215</v>
      </c>
      <c r="D199" s="8">
        <v>1</v>
      </c>
      <c r="E199" s="6" t="s">
        <v>210</v>
      </c>
      <c r="F199" s="6" t="s">
        <v>216</v>
      </c>
      <c r="G199" s="112">
        <v>150</v>
      </c>
      <c r="H199" s="112">
        <v>0</v>
      </c>
      <c r="I199" s="112">
        <v>50</v>
      </c>
      <c r="J199" s="6">
        <f t="shared" si="69"/>
        <v>100</v>
      </c>
      <c r="K199" s="6"/>
      <c r="L199" s="112">
        <v>4</v>
      </c>
      <c r="M199" s="6">
        <f t="shared" si="71"/>
        <v>48</v>
      </c>
      <c r="N199" s="112">
        <v>-30</v>
      </c>
      <c r="O199" s="112">
        <v>12</v>
      </c>
      <c r="P199" s="6">
        <f t="shared" si="98"/>
        <v>0</v>
      </c>
      <c r="Q199" s="113">
        <f t="shared" si="99"/>
        <v>0.125</v>
      </c>
      <c r="R199" s="113">
        <f t="shared" si="99"/>
        <v>0.375</v>
      </c>
      <c r="S199" s="113">
        <f t="shared" si="99"/>
        <v>0.625</v>
      </c>
      <c r="T199" s="113">
        <f t="shared" si="99"/>
        <v>0.875</v>
      </c>
      <c r="U199" s="113">
        <f t="shared" si="99"/>
        <v>1</v>
      </c>
      <c r="V199" s="114">
        <f t="shared" si="93"/>
        <v>18.75</v>
      </c>
      <c r="W199" s="114">
        <f t="shared" si="94"/>
        <v>37.5</v>
      </c>
      <c r="X199" s="114">
        <f t="shared" si="81"/>
        <v>37.5</v>
      </c>
      <c r="Y199" s="114">
        <f t="shared" si="82"/>
        <v>37.5</v>
      </c>
      <c r="Z199" s="114">
        <f t="shared" si="95"/>
        <v>18.75</v>
      </c>
      <c r="AA199" s="6"/>
    </row>
    <row r="200" spans="1:27" s="7" customFormat="1" ht="21" customHeight="1" x14ac:dyDescent="0.25">
      <c r="A200" s="13"/>
      <c r="B200" s="6"/>
      <c r="C200" s="7" t="s">
        <v>217</v>
      </c>
      <c r="D200" s="8">
        <v>1</v>
      </c>
      <c r="E200" s="6" t="s">
        <v>210</v>
      </c>
      <c r="F200" s="6" t="s">
        <v>216</v>
      </c>
      <c r="G200" s="112">
        <v>360</v>
      </c>
      <c r="H200" s="112">
        <v>0</v>
      </c>
      <c r="I200" s="112">
        <v>133</v>
      </c>
      <c r="J200" s="6">
        <f t="shared" si="69"/>
        <v>227</v>
      </c>
      <c r="K200" s="6"/>
      <c r="L200" s="112">
        <v>4</v>
      </c>
      <c r="M200" s="6">
        <f t="shared" si="71"/>
        <v>48</v>
      </c>
      <c r="N200" s="112">
        <v>-20</v>
      </c>
      <c r="O200" s="112">
        <v>0</v>
      </c>
      <c r="P200" s="6">
        <f t="shared" si="98"/>
        <v>-2</v>
      </c>
      <c r="Q200" s="113">
        <f t="shared" si="99"/>
        <v>0.16666666666666666</v>
      </c>
      <c r="R200" s="113">
        <f t="shared" si="99"/>
        <v>0.41666666666666669</v>
      </c>
      <c r="S200" s="113">
        <f t="shared" si="99"/>
        <v>0.66666666666666663</v>
      </c>
      <c r="T200" s="113">
        <f t="shared" si="99"/>
        <v>0.91666666666666663</v>
      </c>
      <c r="U200" s="113">
        <f t="shared" si="99"/>
        <v>1</v>
      </c>
      <c r="V200" s="114">
        <f t="shared" si="93"/>
        <v>60</v>
      </c>
      <c r="W200" s="114">
        <f t="shared" si="94"/>
        <v>90</v>
      </c>
      <c r="X200" s="114">
        <f t="shared" si="81"/>
        <v>90</v>
      </c>
      <c r="Y200" s="114">
        <f t="shared" si="82"/>
        <v>90</v>
      </c>
      <c r="Z200" s="114">
        <f t="shared" si="95"/>
        <v>30</v>
      </c>
      <c r="AA200" s="6"/>
    </row>
    <row r="201" spans="1:27" s="7" customFormat="1" ht="21" customHeight="1" x14ac:dyDescent="0.25">
      <c r="A201" s="115"/>
      <c r="B201" s="6"/>
      <c r="C201" s="365" t="s">
        <v>218</v>
      </c>
      <c r="D201" s="8">
        <v>5</v>
      </c>
      <c r="E201" s="6" t="s">
        <v>210</v>
      </c>
      <c r="F201" s="6" t="s">
        <v>216</v>
      </c>
      <c r="G201" s="112">
        <v>200</v>
      </c>
      <c r="H201" s="112">
        <v>0</v>
      </c>
      <c r="I201" s="112">
        <v>0</v>
      </c>
      <c r="J201" s="6">
        <f t="shared" si="69"/>
        <v>0</v>
      </c>
      <c r="K201" s="6"/>
      <c r="L201" s="112">
        <v>4</v>
      </c>
      <c r="M201" s="6">
        <f t="shared" si="71"/>
        <v>48</v>
      </c>
      <c r="N201" s="112">
        <v>120</v>
      </c>
      <c r="O201" s="112">
        <v>12</v>
      </c>
      <c r="P201" s="6">
        <f t="shared" si="98"/>
        <v>150</v>
      </c>
      <c r="Q201" s="113">
        <f t="shared" si="99"/>
        <v>0</v>
      </c>
      <c r="R201" s="113">
        <f t="shared" si="99"/>
        <v>0</v>
      </c>
      <c r="S201" s="113">
        <f t="shared" si="99"/>
        <v>0</v>
      </c>
      <c r="T201" s="113">
        <f t="shared" si="99"/>
        <v>0</v>
      </c>
      <c r="U201" s="113">
        <f t="shared" si="99"/>
        <v>0</v>
      </c>
      <c r="V201" s="114">
        <f t="shared" si="93"/>
        <v>0</v>
      </c>
      <c r="W201" s="114">
        <f t="shared" si="94"/>
        <v>0</v>
      </c>
      <c r="X201" s="114">
        <f t="shared" si="81"/>
        <v>0</v>
      </c>
      <c r="Y201" s="114">
        <f t="shared" si="82"/>
        <v>0</v>
      </c>
      <c r="Z201" s="114">
        <f t="shared" si="95"/>
        <v>0</v>
      </c>
      <c r="AA201" s="6"/>
    </row>
    <row r="202" spans="1:27" s="7" customFormat="1" ht="21" customHeight="1" x14ac:dyDescent="0.25">
      <c r="A202" s="115"/>
      <c r="B202" s="6"/>
      <c r="C202" s="365" t="s">
        <v>219</v>
      </c>
      <c r="D202" s="8">
        <v>5</v>
      </c>
      <c r="E202" s="6" t="s">
        <v>210</v>
      </c>
      <c r="F202" s="6" t="s">
        <v>216</v>
      </c>
      <c r="G202" s="112">
        <v>400</v>
      </c>
      <c r="H202" s="112">
        <v>0</v>
      </c>
      <c r="I202" s="112">
        <v>0</v>
      </c>
      <c r="J202" s="6">
        <f t="shared" ref="J202" si="100">+IF(D202=1,(G202-H202-I202),IF(D202=2,(G202-H202-I202),0))</f>
        <v>0</v>
      </c>
      <c r="K202" s="6"/>
      <c r="L202" s="112">
        <v>4</v>
      </c>
      <c r="M202" s="6">
        <f t="shared" ref="M202" si="101">+L202*12</f>
        <v>48</v>
      </c>
      <c r="N202" s="112">
        <v>120</v>
      </c>
      <c r="O202" s="112">
        <v>12</v>
      </c>
      <c r="P202" s="6">
        <f t="shared" si="98"/>
        <v>150</v>
      </c>
      <c r="Q202" s="113">
        <f t="shared" si="99"/>
        <v>0</v>
      </c>
      <c r="R202" s="113">
        <f t="shared" si="99"/>
        <v>0</v>
      </c>
      <c r="S202" s="113">
        <f t="shared" si="99"/>
        <v>0</v>
      </c>
      <c r="T202" s="113">
        <f t="shared" si="99"/>
        <v>0</v>
      </c>
      <c r="U202" s="113">
        <f t="shared" si="99"/>
        <v>0</v>
      </c>
      <c r="V202" s="114">
        <f t="shared" si="93"/>
        <v>0</v>
      </c>
      <c r="W202" s="114">
        <f t="shared" si="94"/>
        <v>0</v>
      </c>
      <c r="X202" s="114">
        <f t="shared" ref="X202" si="102">S202*($G202-$H202)-SUM(V202:W202)</f>
        <v>0</v>
      </c>
      <c r="Y202" s="114">
        <f t="shared" ref="Y202" si="103">T202*($G202-$H202)-SUM(V202:X202)</f>
        <v>0</v>
      </c>
      <c r="Z202" s="114">
        <f t="shared" si="95"/>
        <v>0</v>
      </c>
      <c r="AA202" s="6"/>
    </row>
    <row r="203" spans="1:27" s="181" customFormat="1" ht="21" customHeight="1" x14ac:dyDescent="0.25">
      <c r="A203" s="173"/>
      <c r="B203" s="129"/>
      <c r="C203" s="174" t="s">
        <v>220</v>
      </c>
      <c r="D203" s="175">
        <v>2</v>
      </c>
      <c r="E203" s="129" t="s">
        <v>210</v>
      </c>
      <c r="F203" s="129">
        <v>0</v>
      </c>
      <c r="G203" s="176"/>
      <c r="H203" s="176"/>
      <c r="I203" s="176"/>
      <c r="J203" s="177"/>
      <c r="K203" s="129"/>
      <c r="L203" s="178"/>
      <c r="M203" s="129"/>
      <c r="N203" s="178"/>
      <c r="O203" s="178"/>
      <c r="P203" s="129"/>
      <c r="Q203" s="179"/>
      <c r="R203" s="179"/>
      <c r="S203" s="179"/>
      <c r="T203" s="179"/>
      <c r="U203" s="179"/>
      <c r="V203" s="180"/>
      <c r="W203" s="180"/>
      <c r="X203" s="180"/>
      <c r="Y203" s="180"/>
      <c r="Z203" s="180"/>
      <c r="AA203" s="129"/>
    </row>
    <row r="204" spans="1:27" s="181" customFormat="1" ht="21" customHeight="1" x14ac:dyDescent="0.25">
      <c r="A204" s="173"/>
      <c r="B204" s="129"/>
      <c r="C204" s="174" t="s">
        <v>221</v>
      </c>
      <c r="D204" s="175">
        <v>2</v>
      </c>
      <c r="E204" s="129" t="s">
        <v>210</v>
      </c>
      <c r="F204" s="129">
        <v>0</v>
      </c>
      <c r="G204" s="176"/>
      <c r="H204" s="176"/>
      <c r="I204" s="176"/>
      <c r="J204" s="177"/>
      <c r="K204" s="129"/>
      <c r="L204" s="178"/>
      <c r="M204" s="129"/>
      <c r="N204" s="178"/>
      <c r="O204" s="178"/>
      <c r="P204" s="129"/>
      <c r="Q204" s="179"/>
      <c r="R204" s="179"/>
      <c r="S204" s="179"/>
      <c r="T204" s="179"/>
      <c r="U204" s="179"/>
      <c r="V204" s="180"/>
      <c r="W204" s="180"/>
      <c r="X204" s="180"/>
      <c r="Y204" s="180"/>
      <c r="Z204" s="180"/>
      <c r="AA204" s="129"/>
    </row>
    <row r="205" spans="1:27" s="181" customFormat="1" ht="21" customHeight="1" x14ac:dyDescent="0.25">
      <c r="A205" s="173"/>
      <c r="B205" s="129"/>
      <c r="C205" s="174" t="s">
        <v>222</v>
      </c>
      <c r="D205" s="175">
        <v>2</v>
      </c>
      <c r="E205" s="129" t="s">
        <v>210</v>
      </c>
      <c r="F205" s="129">
        <v>0</v>
      </c>
      <c r="G205" s="176"/>
      <c r="H205" s="176"/>
      <c r="I205" s="176"/>
      <c r="J205" s="177"/>
      <c r="K205" s="129"/>
      <c r="L205" s="178"/>
      <c r="M205" s="129"/>
      <c r="N205" s="178"/>
      <c r="O205" s="178"/>
      <c r="P205" s="129"/>
      <c r="Q205" s="179"/>
      <c r="R205" s="179"/>
      <c r="S205" s="179"/>
      <c r="T205" s="179"/>
      <c r="U205" s="179"/>
      <c r="V205" s="180"/>
      <c r="W205" s="180"/>
      <c r="X205" s="180"/>
      <c r="Y205" s="180"/>
      <c r="Z205" s="180"/>
      <c r="AA205" s="129"/>
    </row>
    <row r="206" spans="1:27" s="181" customFormat="1" ht="21" customHeight="1" x14ac:dyDescent="0.25">
      <c r="A206" s="173"/>
      <c r="B206" s="129"/>
      <c r="C206" s="174" t="s">
        <v>223</v>
      </c>
      <c r="D206" s="175">
        <v>5</v>
      </c>
      <c r="E206" s="129" t="s">
        <v>210</v>
      </c>
      <c r="F206" s="129">
        <v>0</v>
      </c>
      <c r="G206" s="176"/>
      <c r="H206" s="176"/>
      <c r="I206" s="176"/>
      <c r="J206" s="177"/>
      <c r="K206" s="129"/>
      <c r="L206" s="178"/>
      <c r="M206" s="129"/>
      <c r="N206" s="178"/>
      <c r="O206" s="178"/>
      <c r="P206" s="129"/>
      <c r="Q206" s="179"/>
      <c r="R206" s="179"/>
      <c r="S206" s="179"/>
      <c r="T206" s="179"/>
      <c r="U206" s="179"/>
      <c r="V206" s="180"/>
      <c r="W206" s="180"/>
      <c r="X206" s="180"/>
      <c r="Y206" s="180"/>
      <c r="Z206" s="180"/>
      <c r="AA206" s="129"/>
    </row>
    <row r="207" spans="1:27" s="181" customFormat="1" ht="21" customHeight="1" x14ac:dyDescent="0.25">
      <c r="A207" s="173"/>
      <c r="B207" s="129"/>
      <c r="C207" s="174" t="s">
        <v>224</v>
      </c>
      <c r="D207" s="175">
        <v>2</v>
      </c>
      <c r="E207" s="129" t="s">
        <v>210</v>
      </c>
      <c r="F207" s="129">
        <v>0</v>
      </c>
      <c r="G207" s="176"/>
      <c r="H207" s="176"/>
      <c r="I207" s="176"/>
      <c r="J207" s="177"/>
      <c r="K207" s="129"/>
      <c r="L207" s="178"/>
      <c r="M207" s="129"/>
      <c r="N207" s="178"/>
      <c r="O207" s="178"/>
      <c r="P207" s="129"/>
      <c r="Q207" s="179"/>
      <c r="R207" s="179"/>
      <c r="S207" s="179"/>
      <c r="T207" s="179"/>
      <c r="U207" s="179"/>
      <c r="V207" s="180"/>
      <c r="W207" s="180"/>
      <c r="X207" s="180"/>
      <c r="Y207" s="180"/>
      <c r="Z207" s="180"/>
      <c r="AA207" s="129"/>
    </row>
    <row r="208" spans="1:27" s="181" customFormat="1" ht="21" customHeight="1" x14ac:dyDescent="0.25">
      <c r="A208" s="173"/>
      <c r="B208" s="129"/>
      <c r="C208" s="174" t="s">
        <v>225</v>
      </c>
      <c r="D208" s="175">
        <v>4</v>
      </c>
      <c r="E208" s="129" t="s">
        <v>210</v>
      </c>
      <c r="F208" s="129">
        <v>0</v>
      </c>
      <c r="G208" s="176"/>
      <c r="H208" s="176"/>
      <c r="I208" s="176"/>
      <c r="J208" s="177"/>
      <c r="K208" s="129"/>
      <c r="L208" s="178"/>
      <c r="M208" s="129"/>
      <c r="N208" s="178"/>
      <c r="O208" s="178"/>
      <c r="P208" s="129"/>
      <c r="Q208" s="179"/>
      <c r="R208" s="179"/>
      <c r="S208" s="179"/>
      <c r="T208" s="179"/>
      <c r="U208" s="179"/>
      <c r="V208" s="180"/>
      <c r="W208" s="180"/>
      <c r="X208" s="180"/>
      <c r="Y208" s="180"/>
      <c r="Z208" s="180"/>
      <c r="AA208" s="129"/>
    </row>
    <row r="209" spans="1:27" s="181" customFormat="1" ht="21" customHeight="1" x14ac:dyDescent="0.25">
      <c r="A209" s="173"/>
      <c r="B209" s="129"/>
      <c r="C209" s="174" t="s">
        <v>226</v>
      </c>
      <c r="D209" s="175">
        <v>3</v>
      </c>
      <c r="E209" s="129" t="s">
        <v>210</v>
      </c>
      <c r="F209" s="129">
        <v>0</v>
      </c>
      <c r="G209" s="176"/>
      <c r="H209" s="176"/>
      <c r="I209" s="176"/>
      <c r="J209" s="177"/>
      <c r="K209" s="129"/>
      <c r="L209" s="178"/>
      <c r="M209" s="129"/>
      <c r="N209" s="178"/>
      <c r="O209" s="178"/>
      <c r="P209" s="129"/>
      <c r="Q209" s="179"/>
      <c r="R209" s="179"/>
      <c r="S209" s="179"/>
      <c r="T209" s="179"/>
      <c r="U209" s="179"/>
      <c r="V209" s="180"/>
      <c r="W209" s="180"/>
      <c r="X209" s="180"/>
      <c r="Y209" s="180"/>
      <c r="Z209" s="180"/>
      <c r="AA209" s="129"/>
    </row>
    <row r="210" spans="1:27" s="7" customFormat="1" ht="21" customHeight="1" x14ac:dyDescent="0.25">
      <c r="A210" s="115"/>
      <c r="B210" s="6"/>
      <c r="C210" s="7" t="s">
        <v>227</v>
      </c>
      <c r="D210" s="8">
        <v>2</v>
      </c>
      <c r="E210" s="6" t="s">
        <v>228</v>
      </c>
      <c r="F210" s="6" t="s">
        <v>229</v>
      </c>
      <c r="G210" s="112">
        <v>23</v>
      </c>
      <c r="H210" s="112">
        <v>0</v>
      </c>
      <c r="I210" s="112">
        <v>0</v>
      </c>
      <c r="J210" s="6">
        <f t="shared" ref="J210:J211" si="104">+IF(D210=1,(G210-H210-I210),IF(D210=2,(G210-H210-I210),0))</f>
        <v>23</v>
      </c>
      <c r="K210" s="6"/>
      <c r="L210" s="110" t="s">
        <v>306</v>
      </c>
      <c r="M210" s="111"/>
      <c r="N210" s="111"/>
      <c r="O210" s="111"/>
      <c r="P210" s="111"/>
      <c r="Q210" s="111"/>
      <c r="R210" s="111"/>
      <c r="S210" s="111"/>
      <c r="T210" s="111"/>
      <c r="U210" s="111"/>
      <c r="V210" s="112">
        <v>2</v>
      </c>
      <c r="W210" s="112">
        <v>2</v>
      </c>
      <c r="X210" s="112">
        <v>2</v>
      </c>
      <c r="Y210" s="112">
        <v>2</v>
      </c>
      <c r="Z210" s="112">
        <v>2</v>
      </c>
      <c r="AA210" s="6"/>
    </row>
    <row r="211" spans="1:27" s="7" customFormat="1" ht="21" customHeight="1" x14ac:dyDescent="0.25">
      <c r="A211" s="115"/>
      <c r="B211" s="6"/>
      <c r="C211" s="7" t="s">
        <v>230</v>
      </c>
      <c r="D211" s="8">
        <v>3</v>
      </c>
      <c r="E211" s="6" t="s">
        <v>228</v>
      </c>
      <c r="F211" s="6" t="s">
        <v>229</v>
      </c>
      <c r="G211" s="112">
        <v>100</v>
      </c>
      <c r="H211" s="112">
        <v>0</v>
      </c>
      <c r="I211" s="112">
        <v>0</v>
      </c>
      <c r="J211" s="6">
        <f t="shared" si="104"/>
        <v>0</v>
      </c>
      <c r="K211" s="6"/>
      <c r="L211" s="110" t="s">
        <v>306</v>
      </c>
      <c r="M211" s="111"/>
      <c r="N211" s="111"/>
      <c r="O211" s="111"/>
      <c r="P211" s="111"/>
      <c r="Q211" s="111"/>
      <c r="R211" s="111"/>
      <c r="S211" s="111"/>
      <c r="T211" s="111"/>
      <c r="U211" s="111"/>
      <c r="V211" s="112">
        <v>0</v>
      </c>
      <c r="W211" s="112">
        <v>0</v>
      </c>
      <c r="X211" s="112">
        <v>5</v>
      </c>
      <c r="Y211" s="112">
        <v>10</v>
      </c>
      <c r="Z211" s="112">
        <v>10</v>
      </c>
      <c r="AA211" s="6"/>
    </row>
    <row r="212" spans="1:27" s="181" customFormat="1" ht="21" customHeight="1" x14ac:dyDescent="0.25">
      <c r="A212" s="173"/>
      <c r="B212" s="129"/>
      <c r="C212" s="174" t="s">
        <v>231</v>
      </c>
      <c r="D212" s="175">
        <v>5</v>
      </c>
      <c r="E212" s="129" t="s">
        <v>228</v>
      </c>
      <c r="F212" s="129">
        <v>0</v>
      </c>
      <c r="G212" s="176"/>
      <c r="H212" s="176"/>
      <c r="I212" s="176"/>
      <c r="J212" s="177"/>
      <c r="K212" s="129"/>
      <c r="L212" s="178"/>
      <c r="M212" s="129"/>
      <c r="N212" s="178"/>
      <c r="O212" s="178"/>
      <c r="P212" s="129"/>
      <c r="Q212" s="179"/>
      <c r="R212" s="179"/>
      <c r="S212" s="179"/>
      <c r="T212" s="179"/>
      <c r="U212" s="179"/>
      <c r="V212" s="180"/>
      <c r="W212" s="180"/>
      <c r="X212" s="180"/>
      <c r="Y212" s="180"/>
      <c r="Z212" s="180"/>
      <c r="AA212" s="129"/>
    </row>
    <row r="213" spans="1:27" s="181" customFormat="1" ht="21" customHeight="1" x14ac:dyDescent="0.25">
      <c r="A213" s="173"/>
      <c r="B213" s="129"/>
      <c r="C213" s="174" t="s">
        <v>232</v>
      </c>
      <c r="D213" s="175">
        <v>1</v>
      </c>
      <c r="E213" s="129" t="s">
        <v>228</v>
      </c>
      <c r="F213" s="129">
        <v>0</v>
      </c>
      <c r="G213" s="176"/>
      <c r="H213" s="176"/>
      <c r="I213" s="176"/>
      <c r="J213" s="177"/>
      <c r="K213" s="129"/>
      <c r="L213" s="178"/>
      <c r="M213" s="129"/>
      <c r="N213" s="178"/>
      <c r="O213" s="178"/>
      <c r="P213" s="129"/>
      <c r="Q213" s="179"/>
      <c r="R213" s="179"/>
      <c r="S213" s="179"/>
      <c r="T213" s="179"/>
      <c r="U213" s="179"/>
      <c r="V213" s="180"/>
      <c r="W213" s="180"/>
      <c r="X213" s="180"/>
      <c r="Y213" s="180"/>
      <c r="Z213" s="180"/>
      <c r="AA213" s="129"/>
    </row>
    <row r="214" spans="1:27" s="181" customFormat="1" ht="21" customHeight="1" x14ac:dyDescent="0.25">
      <c r="A214" s="173"/>
      <c r="B214" s="129"/>
      <c r="C214" s="174" t="s">
        <v>233</v>
      </c>
      <c r="D214" s="175">
        <v>2</v>
      </c>
      <c r="E214" s="129" t="s">
        <v>228</v>
      </c>
      <c r="F214" s="129">
        <v>0</v>
      </c>
      <c r="G214" s="176"/>
      <c r="H214" s="176"/>
      <c r="I214" s="176"/>
      <c r="J214" s="177"/>
      <c r="K214" s="129"/>
      <c r="L214" s="178"/>
      <c r="M214" s="129"/>
      <c r="N214" s="178"/>
      <c r="O214" s="178"/>
      <c r="P214" s="129"/>
      <c r="Q214" s="179"/>
      <c r="R214" s="179"/>
      <c r="S214" s="179"/>
      <c r="T214" s="179"/>
      <c r="U214" s="179"/>
      <c r="V214" s="180"/>
      <c r="W214" s="180"/>
      <c r="X214" s="180"/>
      <c r="Y214" s="180"/>
      <c r="Z214" s="180"/>
      <c r="AA214" s="129"/>
    </row>
    <row r="215" spans="1:27" s="181" customFormat="1" ht="21" customHeight="1" x14ac:dyDescent="0.25">
      <c r="A215" s="173"/>
      <c r="B215" s="129"/>
      <c r="C215" s="174" t="s">
        <v>234</v>
      </c>
      <c r="D215" s="175">
        <v>3</v>
      </c>
      <c r="E215" s="129" t="s">
        <v>228</v>
      </c>
      <c r="F215" s="129">
        <v>0</v>
      </c>
      <c r="G215" s="176"/>
      <c r="H215" s="176"/>
      <c r="I215" s="176"/>
      <c r="J215" s="177"/>
      <c r="K215" s="129"/>
      <c r="L215" s="178"/>
      <c r="M215" s="129"/>
      <c r="N215" s="178"/>
      <c r="O215" s="178"/>
      <c r="P215" s="129"/>
      <c r="Q215" s="179"/>
      <c r="R215" s="179"/>
      <c r="S215" s="179"/>
      <c r="T215" s="179"/>
      <c r="U215" s="179"/>
      <c r="V215" s="180"/>
      <c r="W215" s="180"/>
      <c r="X215" s="180"/>
      <c r="Y215" s="180"/>
      <c r="Z215" s="180"/>
      <c r="AA215" s="129"/>
    </row>
    <row r="216" spans="1:27" s="181" customFormat="1" ht="21" customHeight="1" x14ac:dyDescent="0.25">
      <c r="A216" s="173"/>
      <c r="B216" s="129"/>
      <c r="C216" s="174" t="s">
        <v>235</v>
      </c>
      <c r="D216" s="175">
        <v>4</v>
      </c>
      <c r="E216" s="129" t="s">
        <v>228</v>
      </c>
      <c r="F216" s="129">
        <v>0</v>
      </c>
      <c r="G216" s="176"/>
      <c r="H216" s="176"/>
      <c r="I216" s="176"/>
      <c r="J216" s="177"/>
      <c r="K216" s="129"/>
      <c r="L216" s="178"/>
      <c r="M216" s="129"/>
      <c r="N216" s="178"/>
      <c r="O216" s="178"/>
      <c r="P216" s="129"/>
      <c r="Q216" s="179"/>
      <c r="R216" s="179"/>
      <c r="S216" s="179"/>
      <c r="T216" s="179"/>
      <c r="U216" s="179"/>
      <c r="V216" s="180"/>
      <c r="W216" s="180"/>
      <c r="X216" s="180"/>
      <c r="Y216" s="180"/>
      <c r="Z216" s="180"/>
      <c r="AA216" s="129"/>
    </row>
    <row r="217" spans="1:27" s="181" customFormat="1" ht="21" customHeight="1" x14ac:dyDescent="0.25">
      <c r="A217" s="173"/>
      <c r="B217" s="129"/>
      <c r="C217" s="174" t="s">
        <v>236</v>
      </c>
      <c r="D217" s="175">
        <v>1</v>
      </c>
      <c r="E217" s="129" t="s">
        <v>228</v>
      </c>
      <c r="F217" s="129">
        <v>0</v>
      </c>
      <c r="G217" s="176"/>
      <c r="H217" s="176"/>
      <c r="I217" s="176"/>
      <c r="J217" s="177"/>
      <c r="K217" s="129"/>
      <c r="L217" s="178"/>
      <c r="M217" s="129"/>
      <c r="N217" s="178"/>
      <c r="O217" s="178"/>
      <c r="P217" s="129"/>
      <c r="Q217" s="179"/>
      <c r="R217" s="179"/>
      <c r="S217" s="179"/>
      <c r="T217" s="179"/>
      <c r="U217" s="179"/>
      <c r="V217" s="180"/>
      <c r="W217" s="180"/>
      <c r="X217" s="180"/>
      <c r="Y217" s="180"/>
      <c r="Z217" s="180"/>
      <c r="AA217" s="129"/>
    </row>
    <row r="218" spans="1:27" s="7" customFormat="1" ht="21" customHeight="1" x14ac:dyDescent="0.25">
      <c r="A218" s="13"/>
      <c r="B218" s="6"/>
      <c r="C218" s="7" t="s">
        <v>237</v>
      </c>
      <c r="D218" s="8">
        <v>5</v>
      </c>
      <c r="E218" s="6" t="s">
        <v>228</v>
      </c>
      <c r="F218" s="6">
        <v>0</v>
      </c>
      <c r="G218" s="112">
        <v>500</v>
      </c>
      <c r="H218" s="112">
        <v>0</v>
      </c>
      <c r="I218" s="112">
        <v>0</v>
      </c>
      <c r="J218" s="6">
        <f>+IF(D218=1,(G218-H218-I218),IF(D218=2,(G218-H218-I218),0))</f>
        <v>0</v>
      </c>
      <c r="K218" s="6"/>
      <c r="L218" s="112">
        <v>50</v>
      </c>
      <c r="M218" s="6">
        <f t="shared" ref="M218" si="105">+L218*12</f>
        <v>600</v>
      </c>
      <c r="N218" s="112">
        <v>-26</v>
      </c>
      <c r="O218" s="112">
        <v>14</v>
      </c>
      <c r="P218" s="6">
        <f>+N218+O218+18</f>
        <v>6</v>
      </c>
      <c r="Q218" s="113">
        <f>IFERROR(IF(AND((Q$220-$P218)/$M218&gt;0,(Q$220-$P218)/$M218&lt;1),(Q$220-$P218)/$M218,IF((Q$220-$P218)/$M218&gt;0,1,0)),0)</f>
        <v>0</v>
      </c>
      <c r="R218" s="113">
        <f>IFERROR(IF(AND((R$220-$P218)/$M218&gt;0,(R$220-$P218)/$M218&lt;1),(R$220-$P218)/$M218,IF((R$220-$P218)/$M218&gt;0,1,0)),0)</f>
        <v>0.02</v>
      </c>
      <c r="S218" s="113">
        <f>IFERROR(IF(AND((S$220-$P218)/$M218&gt;0,(S$220-$P218)/$M218&lt;1),(S$220-$P218)/$M218,IF((S$220-$P218)/$M218&gt;0,1,0)),0)</f>
        <v>0.04</v>
      </c>
      <c r="T218" s="113">
        <f>IFERROR(IF(AND((T$220-$P218)/$M218&gt;0,(T$220-$P218)/$M218&lt;1),(T$220-$P218)/$M218,IF((T$220-$P218)/$M218&gt;0,1,0)),0)</f>
        <v>0.06</v>
      </c>
      <c r="U218" s="113">
        <f>IFERROR(IF(AND((U$220-$P218)/$M218&gt;0,(U$220-$P218)/$M218&lt;1),(U$220-$P218)/$M218,IF((U$220-$P218)/$M218&gt;0,1,0)),0)</f>
        <v>0.08</v>
      </c>
      <c r="V218" s="114">
        <f>Q218*($G218-$H218)</f>
        <v>0</v>
      </c>
      <c r="W218" s="114">
        <f>R218*($G218-$H218)-V218</f>
        <v>10</v>
      </c>
      <c r="X218" s="114">
        <f>S218*($G218-$H218)-SUM(V218:W218)</f>
        <v>10</v>
      </c>
      <c r="Y218" s="114">
        <f>T218*($G218-$H218)-SUM(V218:X218)</f>
        <v>10</v>
      </c>
      <c r="Z218" s="114">
        <f>U218*($G218-$H218)-SUM(V218:Y218)</f>
        <v>10</v>
      </c>
      <c r="AA218" s="6"/>
    </row>
    <row r="219" spans="1:27" ht="21" customHeight="1" thickBot="1" x14ac:dyDescent="0.3"/>
    <row r="220" spans="1:27" ht="21" customHeight="1" thickBot="1" x14ac:dyDescent="0.3">
      <c r="D220" s="1">
        <v>2</v>
      </c>
      <c r="Q220" s="145">
        <f>6</f>
        <v>6</v>
      </c>
      <c r="R220" s="146">
        <f>12*1+6</f>
        <v>18</v>
      </c>
      <c r="S220" s="146">
        <f>12*2+6</f>
        <v>30</v>
      </c>
      <c r="T220" s="146">
        <f>12*3+6</f>
        <v>42</v>
      </c>
      <c r="U220" s="147">
        <f>12*4+6</f>
        <v>54</v>
      </c>
    </row>
    <row r="221" spans="1:27" ht="21" customHeight="1" x14ac:dyDescent="0.25">
      <c r="D221" s="1">
        <v>2</v>
      </c>
    </row>
    <row r="222" spans="1:27" ht="21" customHeight="1" x14ac:dyDescent="0.25">
      <c r="D222" s="1">
        <v>2</v>
      </c>
    </row>
    <row r="223" spans="1:27" ht="21" customHeight="1" x14ac:dyDescent="0.25">
      <c r="D223" s="1">
        <v>2</v>
      </c>
    </row>
    <row r="224" spans="1:27" ht="21" customHeight="1" x14ac:dyDescent="0.25">
      <c r="D224" s="1">
        <v>1</v>
      </c>
    </row>
    <row r="225" spans="4:4" ht="21" customHeight="1" x14ac:dyDescent="0.25">
      <c r="D225" s="1">
        <v>4</v>
      </c>
    </row>
    <row r="226" spans="4:4" ht="21" customHeight="1" x14ac:dyDescent="0.25">
      <c r="D226" s="1">
        <v>2</v>
      </c>
    </row>
    <row r="227" spans="4:4" ht="21" customHeight="1" x14ac:dyDescent="0.25">
      <c r="D227" s="1">
        <v>4</v>
      </c>
    </row>
    <row r="228" spans="4:4" ht="21" customHeight="1" x14ac:dyDescent="0.25">
      <c r="D228" s="1">
        <v>5</v>
      </c>
    </row>
    <row r="229" spans="4:4" ht="21" customHeight="1" x14ac:dyDescent="0.25">
      <c r="D229" s="1">
        <v>1</v>
      </c>
    </row>
    <row r="230" spans="4:4" ht="21" customHeight="1" x14ac:dyDescent="0.25">
      <c r="D230" s="1">
        <v>2</v>
      </c>
    </row>
    <row r="231" spans="4:4" ht="21" customHeight="1" x14ac:dyDescent="0.25">
      <c r="D231" s="1">
        <v>3</v>
      </c>
    </row>
    <row r="232" spans="4:4" ht="21" customHeight="1" x14ac:dyDescent="0.25">
      <c r="D232" s="1">
        <v>4</v>
      </c>
    </row>
    <row r="233" spans="4:4" ht="21" customHeight="1" x14ac:dyDescent="0.25">
      <c r="D233" s="1">
        <v>1</v>
      </c>
    </row>
    <row r="234" spans="4:4" ht="21" customHeight="1" x14ac:dyDescent="0.25">
      <c r="D234" s="1">
        <v>1</v>
      </c>
    </row>
    <row r="235" spans="4:4" ht="21" customHeight="1" x14ac:dyDescent="0.25">
      <c r="D235" s="1">
        <v>4</v>
      </c>
    </row>
    <row r="236" spans="4:4" ht="21" customHeight="1" x14ac:dyDescent="0.25">
      <c r="D236" s="1">
        <v>5</v>
      </c>
    </row>
    <row r="237" spans="4:4" ht="21" customHeight="1" x14ac:dyDescent="0.25">
      <c r="D237" s="1">
        <v>5</v>
      </c>
    </row>
    <row r="238" spans="4:4" ht="21" customHeight="1" x14ac:dyDescent="0.25">
      <c r="D238" s="1">
        <v>3</v>
      </c>
    </row>
    <row r="239" spans="4:4" ht="21" customHeight="1" x14ac:dyDescent="0.25">
      <c r="D239" s="1">
        <v>4</v>
      </c>
    </row>
    <row r="240" spans="4:4" ht="21" customHeight="1" x14ac:dyDescent="0.25">
      <c r="D240" s="1">
        <v>1</v>
      </c>
    </row>
    <row r="241" spans="4:4" ht="21" customHeight="1" x14ac:dyDescent="0.25">
      <c r="D241" s="1">
        <v>2</v>
      </c>
    </row>
    <row r="242" spans="4:4" ht="21" customHeight="1" x14ac:dyDescent="0.25">
      <c r="D242" s="1">
        <v>4</v>
      </c>
    </row>
    <row r="243" spans="4:4" ht="21" customHeight="1" x14ac:dyDescent="0.25">
      <c r="D243" s="1">
        <v>4</v>
      </c>
    </row>
    <row r="244" spans="4:4" ht="21" customHeight="1" x14ac:dyDescent="0.25">
      <c r="D244" s="1">
        <v>1</v>
      </c>
    </row>
    <row r="245" spans="4:4" ht="21" customHeight="1" x14ac:dyDescent="0.25">
      <c r="D245" s="1">
        <v>1</v>
      </c>
    </row>
    <row r="246" spans="4:4" ht="21" customHeight="1" x14ac:dyDescent="0.25">
      <c r="D246" s="1">
        <v>1</v>
      </c>
    </row>
    <row r="247" spans="4:4" ht="21" customHeight="1" x14ac:dyDescent="0.25">
      <c r="D247" s="1">
        <v>1</v>
      </c>
    </row>
    <row r="248" spans="4:4" ht="21" customHeight="1" x14ac:dyDescent="0.25">
      <c r="D248" s="1">
        <v>2</v>
      </c>
    </row>
    <row r="249" spans="4:4" ht="21" customHeight="1" x14ac:dyDescent="0.25">
      <c r="D249" s="1">
        <v>1</v>
      </c>
    </row>
    <row r="250" spans="4:4" ht="21" customHeight="1" x14ac:dyDescent="0.25">
      <c r="D250" s="1">
        <v>1</v>
      </c>
    </row>
    <row r="251" spans="4:4" ht="21" customHeight="1" x14ac:dyDescent="0.25">
      <c r="D251" s="1">
        <v>1</v>
      </c>
    </row>
    <row r="252" spans="4:4" ht="21" customHeight="1" x14ac:dyDescent="0.25">
      <c r="D252" s="1">
        <v>3</v>
      </c>
    </row>
    <row r="253" spans="4:4" ht="21" customHeight="1" x14ac:dyDescent="0.25">
      <c r="D253" s="1">
        <v>3</v>
      </c>
    </row>
    <row r="254" spans="4:4" ht="21" customHeight="1" x14ac:dyDescent="0.25">
      <c r="D254" s="1">
        <v>4</v>
      </c>
    </row>
    <row r="255" spans="4:4" ht="21" customHeight="1" x14ac:dyDescent="0.25">
      <c r="D255" s="1">
        <v>1</v>
      </c>
    </row>
    <row r="256" spans="4:4" ht="21" customHeight="1" x14ac:dyDescent="0.25">
      <c r="D256" s="1">
        <v>4</v>
      </c>
    </row>
    <row r="257" spans="4:4" ht="21" customHeight="1" x14ac:dyDescent="0.25">
      <c r="D257" s="1">
        <v>1</v>
      </c>
    </row>
    <row r="258" spans="4:4" ht="21" customHeight="1" x14ac:dyDescent="0.25">
      <c r="D258" s="1">
        <v>1</v>
      </c>
    </row>
    <row r="259" spans="4:4" ht="21" customHeight="1" x14ac:dyDescent="0.25">
      <c r="D259" s="1">
        <v>1</v>
      </c>
    </row>
    <row r="260" spans="4:4" ht="21" customHeight="1" x14ac:dyDescent="0.25">
      <c r="D260" s="1">
        <v>1</v>
      </c>
    </row>
    <row r="261" spans="4:4" ht="21" customHeight="1" x14ac:dyDescent="0.25">
      <c r="D261" s="1">
        <v>1</v>
      </c>
    </row>
    <row r="262" spans="4:4" ht="21" customHeight="1" x14ac:dyDescent="0.25">
      <c r="D262" s="1">
        <v>3</v>
      </c>
    </row>
    <row r="263" spans="4:4" ht="21" customHeight="1" x14ac:dyDescent="0.25">
      <c r="D263" s="1">
        <v>2</v>
      </c>
    </row>
    <row r="264" spans="4:4" ht="21" customHeight="1" x14ac:dyDescent="0.25">
      <c r="D264" s="1">
        <v>3</v>
      </c>
    </row>
    <row r="265" spans="4:4" ht="21" customHeight="1" x14ac:dyDescent="0.25">
      <c r="D265" s="1">
        <v>2</v>
      </c>
    </row>
    <row r="266" spans="4:4" ht="21" customHeight="1" x14ac:dyDescent="0.25">
      <c r="D266" s="1">
        <v>4</v>
      </c>
    </row>
    <row r="267" spans="4:4" ht="21" customHeight="1" x14ac:dyDescent="0.25">
      <c r="D267" s="1">
        <v>2</v>
      </c>
    </row>
    <row r="268" spans="4:4" ht="21" customHeight="1" x14ac:dyDescent="0.25">
      <c r="D268" s="1">
        <v>4</v>
      </c>
    </row>
    <row r="269" spans="4:4" ht="21" customHeight="1" x14ac:dyDescent="0.25">
      <c r="D269" s="1">
        <v>1</v>
      </c>
    </row>
    <row r="270" spans="4:4" ht="21" customHeight="1" x14ac:dyDescent="0.25">
      <c r="D270" s="1">
        <v>1</v>
      </c>
    </row>
    <row r="271" spans="4:4" ht="21" customHeight="1" x14ac:dyDescent="0.25">
      <c r="D271" s="1">
        <v>2</v>
      </c>
    </row>
    <row r="272" spans="4:4" ht="21" customHeight="1" x14ac:dyDescent="0.25">
      <c r="D272" s="1">
        <v>2</v>
      </c>
    </row>
    <row r="273" spans="4:4" ht="21" customHeight="1" x14ac:dyDescent="0.25">
      <c r="D273" s="1">
        <v>1</v>
      </c>
    </row>
    <row r="274" spans="4:4" ht="21" customHeight="1" x14ac:dyDescent="0.25">
      <c r="D274" s="1">
        <v>1</v>
      </c>
    </row>
    <row r="275" spans="4:4" ht="21" customHeight="1" x14ac:dyDescent="0.25">
      <c r="D275" s="1">
        <v>2</v>
      </c>
    </row>
    <row r="276" spans="4:4" ht="21" customHeight="1" x14ac:dyDescent="0.25">
      <c r="D276" s="1">
        <v>5</v>
      </c>
    </row>
    <row r="277" spans="4:4" ht="21" customHeight="1" x14ac:dyDescent="0.25">
      <c r="D277" s="1">
        <v>4</v>
      </c>
    </row>
    <row r="278" spans="4:4" ht="21" customHeight="1" x14ac:dyDescent="0.25">
      <c r="D278" s="1">
        <v>3</v>
      </c>
    </row>
    <row r="279" spans="4:4" ht="21" customHeight="1" x14ac:dyDescent="0.25">
      <c r="D279" s="1">
        <v>2</v>
      </c>
    </row>
    <row r="280" spans="4:4" ht="21" customHeight="1" x14ac:dyDescent="0.25">
      <c r="D280" s="1">
        <v>2</v>
      </c>
    </row>
    <row r="281" spans="4:4" ht="21" customHeight="1" x14ac:dyDescent="0.25">
      <c r="D281" s="1">
        <v>2</v>
      </c>
    </row>
    <row r="282" spans="4:4" ht="21" customHeight="1" x14ac:dyDescent="0.25">
      <c r="D282" s="1">
        <v>1</v>
      </c>
    </row>
    <row r="283" spans="4:4" ht="21" customHeight="1" x14ac:dyDescent="0.25">
      <c r="D283" s="1">
        <v>3</v>
      </c>
    </row>
    <row r="284" spans="4:4" ht="21" customHeight="1" x14ac:dyDescent="0.25">
      <c r="D284" s="1">
        <v>5</v>
      </c>
    </row>
    <row r="285" spans="4:4" ht="21" customHeight="1" x14ac:dyDescent="0.25">
      <c r="D285" s="1">
        <v>2</v>
      </c>
    </row>
    <row r="286" spans="4:4" ht="21" customHeight="1" x14ac:dyDescent="0.25">
      <c r="D286" s="1">
        <v>5</v>
      </c>
    </row>
    <row r="287" spans="4:4" ht="21" customHeight="1" x14ac:dyDescent="0.25">
      <c r="D287" s="1">
        <v>4</v>
      </c>
    </row>
    <row r="288" spans="4:4" ht="21" customHeight="1" x14ac:dyDescent="0.25">
      <c r="D288" s="1">
        <v>4</v>
      </c>
    </row>
    <row r="289" spans="4:4" ht="21" customHeight="1" x14ac:dyDescent="0.25">
      <c r="D289" s="1">
        <v>4</v>
      </c>
    </row>
    <row r="290" spans="4:4" ht="21" customHeight="1" x14ac:dyDescent="0.25">
      <c r="D290" s="1">
        <v>4</v>
      </c>
    </row>
    <row r="291" spans="4:4" ht="21" customHeight="1" x14ac:dyDescent="0.25">
      <c r="D291" s="1">
        <v>2</v>
      </c>
    </row>
    <row r="292" spans="4:4" ht="21" customHeight="1" x14ac:dyDescent="0.25">
      <c r="D292" s="1">
        <v>4</v>
      </c>
    </row>
    <row r="293" spans="4:4" ht="21" customHeight="1" x14ac:dyDescent="0.25">
      <c r="D293" s="1">
        <v>2</v>
      </c>
    </row>
    <row r="294" spans="4:4" ht="21" customHeight="1" x14ac:dyDescent="0.25">
      <c r="D294" s="1">
        <v>2</v>
      </c>
    </row>
    <row r="295" spans="4:4" ht="21" customHeight="1" x14ac:dyDescent="0.25">
      <c r="D295" s="1">
        <v>1</v>
      </c>
    </row>
    <row r="296" spans="4:4" ht="21" customHeight="1" x14ac:dyDescent="0.25">
      <c r="D296" s="1">
        <v>2</v>
      </c>
    </row>
    <row r="297" spans="4:4" ht="21" customHeight="1" x14ac:dyDescent="0.25">
      <c r="D297" s="1">
        <v>5</v>
      </c>
    </row>
    <row r="298" spans="4:4" ht="21" customHeight="1" x14ac:dyDescent="0.25">
      <c r="D298" s="1">
        <v>1</v>
      </c>
    </row>
    <row r="299" spans="4:4" ht="21" customHeight="1" x14ac:dyDescent="0.25">
      <c r="D299" s="1">
        <v>4</v>
      </c>
    </row>
    <row r="300" spans="4:4" ht="21" customHeight="1" x14ac:dyDescent="0.25">
      <c r="D300" s="1">
        <v>2</v>
      </c>
    </row>
    <row r="301" spans="4:4" ht="21" customHeight="1" x14ac:dyDescent="0.25">
      <c r="D301" s="1">
        <v>4</v>
      </c>
    </row>
    <row r="302" spans="4:4" ht="21" customHeight="1" x14ac:dyDescent="0.25">
      <c r="D302" s="1">
        <v>4</v>
      </c>
    </row>
    <row r="303" spans="4:4" ht="21" customHeight="1" x14ac:dyDescent="0.25">
      <c r="D303" s="1">
        <v>5</v>
      </c>
    </row>
    <row r="304" spans="4:4" ht="21" customHeight="1" x14ac:dyDescent="0.25">
      <c r="D304" s="1">
        <v>4</v>
      </c>
    </row>
    <row r="305" spans="4:4" ht="21" customHeight="1" x14ac:dyDescent="0.25">
      <c r="D305" s="1">
        <v>5</v>
      </c>
    </row>
    <row r="306" spans="4:4" ht="21" customHeight="1" x14ac:dyDescent="0.25">
      <c r="D306" s="1">
        <v>5</v>
      </c>
    </row>
    <row r="307" spans="4:4" ht="21" customHeight="1" x14ac:dyDescent="0.25">
      <c r="D307" s="1">
        <v>4</v>
      </c>
    </row>
    <row r="308" spans="4:4" ht="21" customHeight="1" x14ac:dyDescent="0.25">
      <c r="D308" s="1">
        <v>2</v>
      </c>
    </row>
    <row r="309" spans="4:4" ht="21" customHeight="1" x14ac:dyDescent="0.25">
      <c r="D309" s="1">
        <v>1</v>
      </c>
    </row>
    <row r="310" spans="4:4" ht="21" customHeight="1" x14ac:dyDescent="0.25">
      <c r="D310" s="1">
        <v>1</v>
      </c>
    </row>
    <row r="311" spans="4:4" ht="21" customHeight="1" x14ac:dyDescent="0.25">
      <c r="D311" s="1">
        <v>3</v>
      </c>
    </row>
    <row r="312" spans="4:4" ht="21" customHeight="1" x14ac:dyDescent="0.25">
      <c r="D312" s="1">
        <v>4</v>
      </c>
    </row>
    <row r="313" spans="4:4" ht="21" customHeight="1" x14ac:dyDescent="0.25">
      <c r="D313" s="1">
        <v>4</v>
      </c>
    </row>
    <row r="314" spans="4:4" ht="21" customHeight="1" x14ac:dyDescent="0.25">
      <c r="D314" s="1">
        <v>5</v>
      </c>
    </row>
    <row r="315" spans="4:4" ht="21" customHeight="1" x14ac:dyDescent="0.25">
      <c r="D315" s="1">
        <v>1</v>
      </c>
    </row>
    <row r="316" spans="4:4" ht="21" customHeight="1" x14ac:dyDescent="0.25">
      <c r="D316" s="1">
        <v>4</v>
      </c>
    </row>
    <row r="317" spans="4:4" ht="21" customHeight="1" x14ac:dyDescent="0.25">
      <c r="D317" s="1">
        <v>3</v>
      </c>
    </row>
    <row r="318" spans="4:4" ht="21" customHeight="1" x14ac:dyDescent="0.25">
      <c r="D318" s="1">
        <v>3</v>
      </c>
    </row>
    <row r="319" spans="4:4" ht="21" customHeight="1" x14ac:dyDescent="0.25">
      <c r="D319" s="1">
        <v>1</v>
      </c>
    </row>
    <row r="320" spans="4:4" ht="21" customHeight="1" x14ac:dyDescent="0.25">
      <c r="D320" s="1">
        <v>1</v>
      </c>
    </row>
    <row r="321" spans="4:4" ht="21" customHeight="1" x14ac:dyDescent="0.25">
      <c r="D321" s="1">
        <v>1</v>
      </c>
    </row>
    <row r="322" spans="4:4" ht="21" customHeight="1" x14ac:dyDescent="0.25">
      <c r="D322" s="1">
        <v>1</v>
      </c>
    </row>
    <row r="323" spans="4:4" ht="21" customHeight="1" x14ac:dyDescent="0.25">
      <c r="D323" s="1">
        <v>1</v>
      </c>
    </row>
    <row r="324" spans="4:4" ht="21" customHeight="1" x14ac:dyDescent="0.25">
      <c r="D324" s="1">
        <v>1</v>
      </c>
    </row>
    <row r="325" spans="4:4" ht="21" customHeight="1" x14ac:dyDescent="0.25">
      <c r="D325" s="1">
        <v>1</v>
      </c>
    </row>
    <row r="326" spans="4:4" ht="21" customHeight="1" x14ac:dyDescent="0.25">
      <c r="D326" s="1">
        <v>5</v>
      </c>
    </row>
    <row r="327" spans="4:4" ht="21" customHeight="1" x14ac:dyDescent="0.25">
      <c r="D327" s="1">
        <v>4</v>
      </c>
    </row>
    <row r="328" spans="4:4" ht="21" customHeight="1" x14ac:dyDescent="0.25">
      <c r="D328" s="1">
        <v>1</v>
      </c>
    </row>
    <row r="329" spans="4:4" ht="21" customHeight="1" x14ac:dyDescent="0.25">
      <c r="D329" s="1">
        <v>5</v>
      </c>
    </row>
    <row r="330" spans="4:4" ht="21" customHeight="1" x14ac:dyDescent="0.25">
      <c r="D330" s="1">
        <v>1</v>
      </c>
    </row>
    <row r="331" spans="4:4" ht="21" customHeight="1" x14ac:dyDescent="0.25">
      <c r="D331" s="1">
        <v>5</v>
      </c>
    </row>
    <row r="332" spans="4:4" ht="21" customHeight="1" x14ac:dyDescent="0.25">
      <c r="D332" s="1">
        <v>4</v>
      </c>
    </row>
    <row r="333" spans="4:4" ht="21" customHeight="1" x14ac:dyDescent="0.25">
      <c r="D333" s="1">
        <v>4</v>
      </c>
    </row>
    <row r="334" spans="4:4" ht="21" customHeight="1" x14ac:dyDescent="0.25">
      <c r="D334" s="1">
        <v>4</v>
      </c>
    </row>
    <row r="335" spans="4:4" ht="21" customHeight="1" x14ac:dyDescent="0.25">
      <c r="D335" s="1">
        <v>3</v>
      </c>
    </row>
    <row r="336" spans="4:4" ht="21" customHeight="1" x14ac:dyDescent="0.25">
      <c r="D336" s="1">
        <v>5</v>
      </c>
    </row>
    <row r="337" spans="4:4" ht="21" customHeight="1" x14ac:dyDescent="0.25">
      <c r="D337" s="1">
        <v>2</v>
      </c>
    </row>
    <row r="338" spans="4:4" ht="21" customHeight="1" x14ac:dyDescent="0.25">
      <c r="D338" s="1">
        <v>2</v>
      </c>
    </row>
    <row r="339" spans="4:4" ht="21" customHeight="1" x14ac:dyDescent="0.25">
      <c r="D339" s="1">
        <v>3</v>
      </c>
    </row>
    <row r="340" spans="4:4" ht="21" customHeight="1" x14ac:dyDescent="0.25">
      <c r="D340" s="1">
        <v>3</v>
      </c>
    </row>
    <row r="341" spans="4:4" ht="21" customHeight="1" x14ac:dyDescent="0.25">
      <c r="D341" s="1">
        <v>4</v>
      </c>
    </row>
    <row r="342" spans="4:4" ht="21" customHeight="1" x14ac:dyDescent="0.25">
      <c r="D342" s="1">
        <v>1</v>
      </c>
    </row>
    <row r="343" spans="4:4" ht="21" customHeight="1" x14ac:dyDescent="0.25">
      <c r="D343" s="1">
        <v>3</v>
      </c>
    </row>
    <row r="344" spans="4:4" ht="21" customHeight="1" x14ac:dyDescent="0.25">
      <c r="D344" s="1">
        <v>5</v>
      </c>
    </row>
    <row r="345" spans="4:4" ht="21" customHeight="1" x14ac:dyDescent="0.25">
      <c r="D345" s="1">
        <v>2</v>
      </c>
    </row>
    <row r="346" spans="4:4" ht="21" customHeight="1" x14ac:dyDescent="0.25">
      <c r="D346" s="1">
        <v>2</v>
      </c>
    </row>
    <row r="347" spans="4:4" ht="21" customHeight="1" x14ac:dyDescent="0.25">
      <c r="D347" s="1">
        <v>5</v>
      </c>
    </row>
    <row r="348" spans="4:4" ht="21" customHeight="1" x14ac:dyDescent="0.25">
      <c r="D348" s="1">
        <v>4</v>
      </c>
    </row>
    <row r="349" spans="4:4" ht="21" customHeight="1" x14ac:dyDescent="0.25">
      <c r="D349" s="1">
        <v>5</v>
      </c>
    </row>
    <row r="350" spans="4:4" ht="21" customHeight="1" x14ac:dyDescent="0.25">
      <c r="D350" s="1">
        <v>5</v>
      </c>
    </row>
    <row r="351" spans="4:4" ht="21" customHeight="1" x14ac:dyDescent="0.25">
      <c r="D351" s="1">
        <v>2</v>
      </c>
    </row>
    <row r="352" spans="4:4" ht="21" customHeight="1" x14ac:dyDescent="0.25">
      <c r="D352" s="1">
        <v>1</v>
      </c>
    </row>
    <row r="353" spans="4:4" ht="21" customHeight="1" x14ac:dyDescent="0.25">
      <c r="D353" s="1">
        <v>1</v>
      </c>
    </row>
    <row r="354" spans="4:4" ht="21" customHeight="1" x14ac:dyDescent="0.25">
      <c r="D354" s="1">
        <v>2</v>
      </c>
    </row>
    <row r="355" spans="4:4" ht="21" customHeight="1" x14ac:dyDescent="0.25">
      <c r="D355" s="1">
        <v>5</v>
      </c>
    </row>
    <row r="356" spans="4:4" ht="21" customHeight="1" x14ac:dyDescent="0.25">
      <c r="D356" s="1">
        <v>1</v>
      </c>
    </row>
    <row r="357" spans="4:4" ht="21" customHeight="1" x14ac:dyDescent="0.25">
      <c r="D357" s="1">
        <v>5</v>
      </c>
    </row>
    <row r="358" spans="4:4" ht="21" customHeight="1" x14ac:dyDescent="0.25">
      <c r="D358" s="1">
        <v>2</v>
      </c>
    </row>
    <row r="359" spans="4:4" ht="21" customHeight="1" x14ac:dyDescent="0.25">
      <c r="D359" s="1">
        <v>2</v>
      </c>
    </row>
    <row r="360" spans="4:4" ht="21" customHeight="1" x14ac:dyDescent="0.25">
      <c r="D360" s="1">
        <v>3</v>
      </c>
    </row>
    <row r="361" spans="4:4" ht="21" customHeight="1" x14ac:dyDescent="0.25">
      <c r="D361" s="1">
        <v>2</v>
      </c>
    </row>
    <row r="362" spans="4:4" ht="21" customHeight="1" x14ac:dyDescent="0.25">
      <c r="D362" s="1">
        <v>3</v>
      </c>
    </row>
    <row r="363" spans="4:4" ht="21" customHeight="1" x14ac:dyDescent="0.25">
      <c r="D363" s="1">
        <v>4</v>
      </c>
    </row>
    <row r="364" spans="4:4" ht="21" customHeight="1" x14ac:dyDescent="0.25">
      <c r="D364" s="1">
        <v>1</v>
      </c>
    </row>
    <row r="365" spans="4:4" ht="21" customHeight="1" x14ac:dyDescent="0.25">
      <c r="D365" s="1">
        <v>1</v>
      </c>
    </row>
    <row r="366" spans="4:4" ht="21" customHeight="1" x14ac:dyDescent="0.25">
      <c r="D366" s="1">
        <v>4</v>
      </c>
    </row>
    <row r="367" spans="4:4" ht="21" customHeight="1" x14ac:dyDescent="0.25">
      <c r="D367" s="1">
        <v>4</v>
      </c>
    </row>
    <row r="368" spans="4:4" ht="21" customHeight="1" x14ac:dyDescent="0.25">
      <c r="D368" s="1">
        <v>5</v>
      </c>
    </row>
    <row r="369" spans="4:4" ht="21" customHeight="1" x14ac:dyDescent="0.25">
      <c r="D369" s="1">
        <v>2</v>
      </c>
    </row>
    <row r="370" spans="4:4" ht="21" customHeight="1" x14ac:dyDescent="0.25">
      <c r="D370" s="1">
        <v>5</v>
      </c>
    </row>
    <row r="371" spans="4:4" ht="21" customHeight="1" x14ac:dyDescent="0.25">
      <c r="D371" s="1">
        <v>5</v>
      </c>
    </row>
    <row r="372" spans="4:4" ht="21" customHeight="1" x14ac:dyDescent="0.25">
      <c r="D372" s="1">
        <v>2</v>
      </c>
    </row>
    <row r="373" spans="4:4" ht="21" customHeight="1" x14ac:dyDescent="0.25">
      <c r="D373" s="1">
        <v>1</v>
      </c>
    </row>
    <row r="374" spans="4:4" ht="21" customHeight="1" x14ac:dyDescent="0.25">
      <c r="D374" s="1">
        <v>3</v>
      </c>
    </row>
    <row r="375" spans="4:4" ht="21" customHeight="1" x14ac:dyDescent="0.25">
      <c r="D375" s="1">
        <v>5</v>
      </c>
    </row>
    <row r="376" spans="4:4" ht="21" customHeight="1" x14ac:dyDescent="0.25">
      <c r="D376" s="1">
        <v>4</v>
      </c>
    </row>
    <row r="377" spans="4:4" ht="21" customHeight="1" x14ac:dyDescent="0.25">
      <c r="D377" s="1">
        <v>5</v>
      </c>
    </row>
    <row r="378" spans="4:4" ht="21" customHeight="1" x14ac:dyDescent="0.25">
      <c r="D378" s="1">
        <v>1</v>
      </c>
    </row>
    <row r="379" spans="4:4" ht="21" customHeight="1" x14ac:dyDescent="0.25">
      <c r="D379" s="1">
        <v>5</v>
      </c>
    </row>
    <row r="380" spans="4:4" ht="21" customHeight="1" x14ac:dyDescent="0.25">
      <c r="D380" s="1">
        <v>5</v>
      </c>
    </row>
    <row r="381" spans="4:4" ht="21" customHeight="1" x14ac:dyDescent="0.25">
      <c r="D381" s="1">
        <v>5</v>
      </c>
    </row>
    <row r="382" spans="4:4" ht="21" customHeight="1" x14ac:dyDescent="0.25">
      <c r="D382" s="1">
        <v>5</v>
      </c>
    </row>
    <row r="383" spans="4:4" ht="21" customHeight="1" x14ac:dyDescent="0.25">
      <c r="D383" s="1">
        <v>4</v>
      </c>
    </row>
    <row r="384" spans="4:4" ht="21" customHeight="1" x14ac:dyDescent="0.25">
      <c r="D384" s="1">
        <v>2</v>
      </c>
    </row>
    <row r="385" spans="4:4" ht="21" customHeight="1" x14ac:dyDescent="0.25">
      <c r="D385" s="1">
        <v>2</v>
      </c>
    </row>
    <row r="386" spans="4:4" ht="21" customHeight="1" x14ac:dyDescent="0.25">
      <c r="D386" s="1">
        <v>1</v>
      </c>
    </row>
    <row r="387" spans="4:4" ht="21" customHeight="1" x14ac:dyDescent="0.25">
      <c r="D387" s="1">
        <v>4</v>
      </c>
    </row>
    <row r="388" spans="4:4" ht="21" customHeight="1" x14ac:dyDescent="0.25">
      <c r="D388" s="1">
        <v>4</v>
      </c>
    </row>
    <row r="389" spans="4:4" ht="21" customHeight="1" x14ac:dyDescent="0.25">
      <c r="D389" s="1">
        <v>1</v>
      </c>
    </row>
    <row r="390" spans="4:4" ht="21" customHeight="1" x14ac:dyDescent="0.25">
      <c r="D390" s="1">
        <v>4</v>
      </c>
    </row>
    <row r="391" spans="4:4" ht="21" customHeight="1" x14ac:dyDescent="0.25">
      <c r="D391" s="1">
        <v>1</v>
      </c>
    </row>
    <row r="392" spans="4:4" ht="21" customHeight="1" x14ac:dyDescent="0.25">
      <c r="D392" s="1">
        <v>1</v>
      </c>
    </row>
    <row r="393" spans="4:4" ht="21" customHeight="1" x14ac:dyDescent="0.25">
      <c r="D393" s="1">
        <v>1</v>
      </c>
    </row>
    <row r="394" spans="4:4" ht="21" customHeight="1" x14ac:dyDescent="0.25">
      <c r="D394" s="1">
        <v>5</v>
      </c>
    </row>
    <row r="395" spans="4:4" ht="21" customHeight="1" x14ac:dyDescent="0.25">
      <c r="D395" s="1">
        <v>5</v>
      </c>
    </row>
    <row r="396" spans="4:4" ht="21" customHeight="1" x14ac:dyDescent="0.25">
      <c r="D396" s="1">
        <v>2</v>
      </c>
    </row>
    <row r="397" spans="4:4" ht="21" customHeight="1" x14ac:dyDescent="0.25">
      <c r="D397" s="1">
        <v>2</v>
      </c>
    </row>
    <row r="398" spans="4:4" ht="21" customHeight="1" x14ac:dyDescent="0.25">
      <c r="D398" s="1">
        <v>2</v>
      </c>
    </row>
    <row r="399" spans="4:4" ht="21" customHeight="1" x14ac:dyDescent="0.25">
      <c r="D399" s="1">
        <v>5</v>
      </c>
    </row>
    <row r="400" spans="4:4" ht="21" customHeight="1" x14ac:dyDescent="0.25">
      <c r="D400" s="1">
        <v>2</v>
      </c>
    </row>
    <row r="401" spans="4:4" ht="21" customHeight="1" x14ac:dyDescent="0.25">
      <c r="D401" s="1">
        <v>4</v>
      </c>
    </row>
    <row r="402" spans="4:4" ht="21" customHeight="1" x14ac:dyDescent="0.25">
      <c r="D402" s="1">
        <v>3</v>
      </c>
    </row>
    <row r="403" spans="4:4" ht="21" customHeight="1" x14ac:dyDescent="0.25">
      <c r="D403" s="1">
        <v>2</v>
      </c>
    </row>
    <row r="404" spans="4:4" ht="21" customHeight="1" x14ac:dyDescent="0.25">
      <c r="D404" s="1">
        <v>3</v>
      </c>
    </row>
    <row r="405" spans="4:4" ht="21" customHeight="1" x14ac:dyDescent="0.25">
      <c r="D405" s="1">
        <v>5</v>
      </c>
    </row>
    <row r="406" spans="4:4" ht="21" customHeight="1" x14ac:dyDescent="0.25">
      <c r="D406" s="1">
        <v>1</v>
      </c>
    </row>
    <row r="407" spans="4:4" ht="21" customHeight="1" x14ac:dyDescent="0.25">
      <c r="D407" s="1">
        <v>2</v>
      </c>
    </row>
    <row r="408" spans="4:4" ht="21" customHeight="1" x14ac:dyDescent="0.25">
      <c r="D408" s="1">
        <v>3</v>
      </c>
    </row>
    <row r="409" spans="4:4" ht="21" customHeight="1" x14ac:dyDescent="0.25">
      <c r="D409" s="1">
        <v>4</v>
      </c>
    </row>
    <row r="410" spans="4:4" ht="21" customHeight="1" x14ac:dyDescent="0.25">
      <c r="D410" s="1">
        <v>1</v>
      </c>
    </row>
    <row r="411" spans="4:4" ht="21" customHeight="1" x14ac:dyDescent="0.25">
      <c r="D411" s="1">
        <v>5</v>
      </c>
    </row>
  </sheetData>
  <autoFilter ref="D26:F218" xr:uid="{6B3EB7BD-3D65-4947-8100-9477A8047029}"/>
  <mergeCells count="29">
    <mergeCell ref="S16:Z16"/>
    <mergeCell ref="N22:Q22"/>
    <mergeCell ref="A25:A26"/>
    <mergeCell ref="B25:C25"/>
    <mergeCell ref="D25:J25"/>
    <mergeCell ref="L25:Z25"/>
    <mergeCell ref="N21:Q21"/>
    <mergeCell ref="N17:Q17"/>
    <mergeCell ref="S17:Z18"/>
    <mergeCell ref="N18:Q18"/>
    <mergeCell ref="N19:Q19"/>
    <mergeCell ref="S19:Z20"/>
    <mergeCell ref="N20:Q20"/>
    <mergeCell ref="L13:M13"/>
    <mergeCell ref="N13:Z13"/>
    <mergeCell ref="L14:M14"/>
    <mergeCell ref="M8:Z8"/>
    <mergeCell ref="B2:J2"/>
    <mergeCell ref="L2:Z2"/>
    <mergeCell ref="M5:Z5"/>
    <mergeCell ref="M6:Z6"/>
    <mergeCell ref="M7:Z7"/>
    <mergeCell ref="L10:M10"/>
    <mergeCell ref="N10:Z10"/>
    <mergeCell ref="L11:M11"/>
    <mergeCell ref="N11:Z11"/>
    <mergeCell ref="L12:M12"/>
    <mergeCell ref="N12:Z12"/>
    <mergeCell ref="N14:Z14"/>
  </mergeCells>
  <pageMargins left="0.7" right="0.7" top="0.75" bottom="0.75" header="0.3" footer="0.3"/>
  <pageSetup paperSize="9" orientation="portrait" r:id="rId1"/>
  <ignoredErrors>
    <ignoredError sqref="C20:C21" numberStoredAsText="1"/>
    <ignoredError sqref="P98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96036-6A1F-4F6A-952A-A8E1F60D9115}">
  <sheetPr>
    <tabColor theme="9" tint="0.39997558519241921"/>
  </sheetPr>
  <dimension ref="A1:AF219"/>
  <sheetViews>
    <sheetView showGridLines="0" zoomScale="85" zoomScaleNormal="85" workbookViewId="0">
      <selection activeCell="E24" sqref="E24"/>
    </sheetView>
  </sheetViews>
  <sheetFormatPr defaultColWidth="9.140625" defaultRowHeight="21" customHeight="1" x14ac:dyDescent="0.25"/>
  <cols>
    <col min="1" max="1" width="7.42578125" style="11" customWidth="1"/>
    <col min="2" max="2" width="4" style="11" customWidth="1"/>
    <col min="3" max="3" width="4" style="6" customWidth="1"/>
    <col min="4" max="4" width="51.5703125" style="7" customWidth="1"/>
    <col min="5" max="5" width="9.140625" style="6"/>
    <col min="6" max="6" width="14" style="6" customWidth="1"/>
    <col min="7" max="7" width="19.42578125" style="6" customWidth="1"/>
    <col min="8" max="8" width="11.42578125" style="6" customWidth="1"/>
    <col min="9" max="9" width="11.42578125" style="6" bestFit="1" customWidth="1"/>
    <col min="10" max="11" width="11.42578125" style="6" customWidth="1"/>
    <col min="12" max="12" width="1.5703125" style="6" customWidth="1"/>
    <col min="13" max="13" width="8.7109375" style="12" bestFit="1" customWidth="1"/>
    <col min="14" max="15" width="8.5703125" style="6" customWidth="1"/>
    <col min="16" max="16" width="13" style="6" customWidth="1"/>
    <col min="17" max="22" width="10.5703125" style="6" hidden="1" customWidth="1"/>
    <col min="23" max="27" width="10.5703125" style="6" customWidth="1"/>
    <col min="28" max="28" width="11.42578125" style="6" customWidth="1"/>
    <col min="29" max="16384" width="9.140625" style="7"/>
  </cols>
  <sheetData>
    <row r="1" spans="1:28" s="6" customFormat="1" ht="9" customHeight="1" x14ac:dyDescent="0.25">
      <c r="A1" s="11"/>
      <c r="B1" s="11"/>
      <c r="D1" s="7"/>
      <c r="M1" s="12"/>
    </row>
    <row r="2" spans="1:28" s="372" customFormat="1" ht="23.25" customHeight="1" x14ac:dyDescent="0.3">
      <c r="A2" s="13"/>
      <c r="B2" s="11"/>
      <c r="C2" s="423" t="s">
        <v>238</v>
      </c>
      <c r="D2" s="424"/>
      <c r="E2" s="424"/>
      <c r="F2" s="424"/>
      <c r="G2" s="424"/>
      <c r="H2" s="424"/>
      <c r="I2" s="424"/>
      <c r="J2" s="424"/>
      <c r="K2" s="424"/>
      <c r="L2" s="1"/>
      <c r="M2" s="424" t="s">
        <v>239</v>
      </c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1"/>
    </row>
    <row r="3" spans="1:28" s="372" customFormat="1" ht="9" customHeight="1" thickBot="1" x14ac:dyDescent="0.3">
      <c r="A3" s="13"/>
      <c r="B3" s="11"/>
      <c r="C3" s="1"/>
      <c r="E3" s="1"/>
      <c r="F3" s="1"/>
      <c r="G3" s="1"/>
      <c r="H3" s="1"/>
      <c r="I3" s="1"/>
      <c r="J3" s="1"/>
      <c r="K3" s="1"/>
      <c r="L3" s="1"/>
      <c r="M3" s="1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6" customFormat="1" ht="21" customHeight="1" thickBot="1" x14ac:dyDescent="0.3">
      <c r="A4" s="11"/>
      <c r="B4" s="11"/>
      <c r="C4" s="15"/>
      <c r="D4" s="16" t="s">
        <v>240</v>
      </c>
      <c r="E4" s="17" t="s">
        <v>4</v>
      </c>
      <c r="F4" s="17" t="s">
        <v>5</v>
      </c>
      <c r="G4" s="17"/>
      <c r="H4" s="17" t="s">
        <v>241</v>
      </c>
      <c r="I4" s="18" t="s">
        <v>242</v>
      </c>
      <c r="J4" s="19" t="s">
        <v>243</v>
      </c>
      <c r="K4" s="20"/>
      <c r="L4" s="21"/>
      <c r="M4" s="22" t="s">
        <v>244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8" s="6" customFormat="1" ht="21" customHeight="1" x14ac:dyDescent="0.25">
      <c r="A5" s="11"/>
      <c r="B5" s="11"/>
      <c r="C5" s="24"/>
      <c r="D5" s="25" t="s">
        <v>245</v>
      </c>
      <c r="E5" s="26"/>
      <c r="F5" s="26" t="s">
        <v>246</v>
      </c>
      <c r="G5" s="26"/>
      <c r="H5" s="27">
        <f>+SUM(I27:I217)</f>
        <v>74563</v>
      </c>
      <c r="I5" s="28"/>
      <c r="J5" s="29"/>
      <c r="K5" s="30"/>
      <c r="M5" s="31"/>
      <c r="N5" s="438" t="s">
        <v>247</v>
      </c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40"/>
    </row>
    <row r="6" spans="1:28" s="6" customFormat="1" ht="21" customHeight="1" x14ac:dyDescent="0.25">
      <c r="A6" s="11"/>
      <c r="B6" s="11"/>
      <c r="C6" s="32"/>
      <c r="D6" s="33" t="s">
        <v>248</v>
      </c>
      <c r="E6" s="34">
        <v>1</v>
      </c>
      <c r="F6" s="34" t="s">
        <v>246</v>
      </c>
      <c r="G6" s="34"/>
      <c r="H6" s="35">
        <f>+SUMIF(E$27:E$217,"1",J$27:J$217)</f>
        <v>152816</v>
      </c>
      <c r="I6" s="35"/>
      <c r="J6" s="36"/>
      <c r="K6" s="37"/>
      <c r="L6" s="38"/>
      <c r="M6" s="39"/>
      <c r="N6" s="441" t="s">
        <v>249</v>
      </c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3"/>
    </row>
    <row r="7" spans="1:28" s="6" customFormat="1" ht="21" customHeight="1" x14ac:dyDescent="0.25">
      <c r="A7" s="11"/>
      <c r="B7" s="11"/>
      <c r="C7" s="40"/>
      <c r="D7" s="372" t="s">
        <v>250</v>
      </c>
      <c r="F7" s="41" t="s">
        <v>246</v>
      </c>
      <c r="G7" s="41"/>
      <c r="H7" s="42">
        <f>+H8+H9</f>
        <v>929187</v>
      </c>
      <c r="I7" s="42"/>
      <c r="J7" s="43"/>
      <c r="K7" s="44"/>
      <c r="L7" s="45"/>
      <c r="M7" s="46"/>
      <c r="N7" s="441" t="s">
        <v>251</v>
      </c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3"/>
    </row>
    <row r="8" spans="1:28" s="6" customFormat="1" ht="21" customHeight="1" thickBot="1" x14ac:dyDescent="0.3">
      <c r="A8" s="11"/>
      <c r="B8" s="11"/>
      <c r="C8" s="47"/>
      <c r="D8" s="48" t="s">
        <v>252</v>
      </c>
      <c r="E8" s="41">
        <v>1</v>
      </c>
      <c r="F8" s="41" t="s">
        <v>246</v>
      </c>
      <c r="G8" s="41"/>
      <c r="H8" s="49">
        <f>+SUMIF(E$27:E$217,"1",K$27:K$217)</f>
        <v>315128</v>
      </c>
      <c r="I8" s="49"/>
      <c r="J8" s="43"/>
      <c r="K8" s="50"/>
      <c r="L8" s="38"/>
      <c r="M8" s="51"/>
      <c r="N8" s="434" t="s">
        <v>253</v>
      </c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6"/>
    </row>
    <row r="9" spans="1:28" s="6" customFormat="1" ht="21" customHeight="1" thickBot="1" x14ac:dyDescent="0.3">
      <c r="A9" s="11"/>
      <c r="B9" s="11"/>
      <c r="C9" s="47"/>
      <c r="D9" s="48" t="s">
        <v>254</v>
      </c>
      <c r="E9" s="41">
        <v>2</v>
      </c>
      <c r="F9" s="41" t="s">
        <v>246</v>
      </c>
      <c r="G9" s="41"/>
      <c r="H9" s="49">
        <f>+SUMIF(E$27:E$217,"2",K$27:K$217)</f>
        <v>614059</v>
      </c>
      <c r="I9" s="49"/>
      <c r="J9" s="43"/>
      <c r="K9" s="44"/>
      <c r="L9" s="45"/>
      <c r="M9" s="22" t="s">
        <v>255</v>
      </c>
      <c r="N9" s="1"/>
      <c r="O9" s="1"/>
      <c r="P9" s="1"/>
      <c r="Q9" s="1"/>
      <c r="R9" s="1"/>
      <c r="S9" s="1"/>
      <c r="T9" s="1"/>
      <c r="U9" s="23"/>
      <c r="V9" s="1"/>
      <c r="W9" s="1"/>
      <c r="X9" s="1"/>
      <c r="Y9" s="1"/>
      <c r="Z9" s="1"/>
      <c r="AA9" s="1"/>
    </row>
    <row r="10" spans="1:28" s="6" customFormat="1" ht="21" customHeight="1" x14ac:dyDescent="0.25">
      <c r="A10" s="11"/>
      <c r="B10" s="11"/>
      <c r="C10" s="47"/>
      <c r="D10" s="52" t="s">
        <v>256</v>
      </c>
      <c r="E10" s="41">
        <v>3</v>
      </c>
      <c r="F10" s="41" t="s">
        <v>246</v>
      </c>
      <c r="G10" s="41"/>
      <c r="H10" s="49">
        <f>+SUMIF(E$27:E$217,"3",H$27:H$217)</f>
        <v>361100</v>
      </c>
      <c r="I10" s="49"/>
      <c r="J10" s="43"/>
      <c r="K10" s="50"/>
      <c r="L10" s="38"/>
      <c r="M10" s="444" t="s">
        <v>257</v>
      </c>
      <c r="N10" s="445"/>
      <c r="O10" s="446" t="s">
        <v>258</v>
      </c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8"/>
    </row>
    <row r="11" spans="1:28" s="6" customFormat="1" ht="21" customHeight="1" x14ac:dyDescent="0.25">
      <c r="A11" s="11"/>
      <c r="B11" s="11"/>
      <c r="C11" s="53"/>
      <c r="D11" s="372" t="s">
        <v>259</v>
      </c>
      <c r="E11" s="1"/>
      <c r="F11" s="41" t="s">
        <v>246</v>
      </c>
      <c r="G11" s="54"/>
      <c r="H11" s="49">
        <f>+H12+H13</f>
        <v>1753796</v>
      </c>
      <c r="I11" s="49"/>
      <c r="J11" s="43"/>
      <c r="K11" s="50"/>
      <c r="L11" s="38"/>
      <c r="M11" s="427" t="s">
        <v>260</v>
      </c>
      <c r="N11" s="428"/>
      <c r="O11" s="429" t="s">
        <v>261</v>
      </c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1"/>
    </row>
    <row r="12" spans="1:28" s="6" customFormat="1" ht="21" customHeight="1" x14ac:dyDescent="0.25">
      <c r="A12" s="11"/>
      <c r="B12" s="11"/>
      <c r="C12" s="53"/>
      <c r="D12" s="48" t="s">
        <v>262</v>
      </c>
      <c r="E12" s="54">
        <v>4</v>
      </c>
      <c r="F12" s="41" t="s">
        <v>246</v>
      </c>
      <c r="G12" s="54"/>
      <c r="H12" s="49">
        <f>+SUMIF(E$27:E$217,"4",H$27:H$217)</f>
        <v>1029796</v>
      </c>
      <c r="I12" s="41"/>
      <c r="J12" s="41"/>
      <c r="K12" s="55"/>
      <c r="M12" s="427" t="s">
        <v>263</v>
      </c>
      <c r="N12" s="428"/>
      <c r="O12" s="449" t="s">
        <v>264</v>
      </c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1"/>
    </row>
    <row r="13" spans="1:28" s="6" customFormat="1" ht="21" customHeight="1" x14ac:dyDescent="0.25">
      <c r="A13" s="11"/>
      <c r="B13" s="11"/>
      <c r="C13" s="56"/>
      <c r="D13" s="57" t="s">
        <v>265</v>
      </c>
      <c r="E13" s="58">
        <v>5</v>
      </c>
      <c r="F13" s="59" t="s">
        <v>246</v>
      </c>
      <c r="G13" s="58"/>
      <c r="H13" s="60">
        <f>+SUMIF(E$27:E$217,"5",H$27:H$217)</f>
        <v>724000</v>
      </c>
      <c r="I13" s="60"/>
      <c r="J13" s="61"/>
      <c r="K13" s="62"/>
      <c r="M13" s="427" t="s">
        <v>266</v>
      </c>
      <c r="N13" s="428"/>
      <c r="O13" s="429" t="s">
        <v>267</v>
      </c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1"/>
    </row>
    <row r="14" spans="1:28" s="6" customFormat="1" ht="21" customHeight="1" thickBot="1" x14ac:dyDescent="0.3">
      <c r="A14" s="11"/>
      <c r="B14" s="11"/>
      <c r="C14" s="63"/>
      <c r="D14" s="64" t="s">
        <v>268</v>
      </c>
      <c r="E14" s="65"/>
      <c r="F14" s="65"/>
      <c r="G14" s="66"/>
      <c r="H14" s="67">
        <f>H7+SUM(H10:H11)</f>
        <v>3044083</v>
      </c>
      <c r="I14" s="68"/>
      <c r="J14" s="66"/>
      <c r="K14" s="69"/>
      <c r="M14" s="432" t="s">
        <v>269</v>
      </c>
      <c r="N14" s="433"/>
      <c r="O14" s="452" t="s">
        <v>270</v>
      </c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4"/>
    </row>
    <row r="15" spans="1:28" s="6" customFormat="1" ht="9" customHeight="1" thickBot="1" x14ac:dyDescent="0.3">
      <c r="A15" s="11"/>
      <c r="B15" s="11"/>
      <c r="D15" s="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8" s="6" customFormat="1" ht="21" customHeight="1" thickBot="1" x14ac:dyDescent="0.3">
      <c r="A16" s="11"/>
      <c r="B16" s="11"/>
      <c r="C16" s="70"/>
      <c r="D16" s="71" t="s">
        <v>271</v>
      </c>
      <c r="E16" s="17"/>
      <c r="F16" s="17" t="s">
        <v>5</v>
      </c>
      <c r="G16" s="72"/>
      <c r="H16" s="17" t="s">
        <v>241</v>
      </c>
      <c r="I16" s="73" t="s">
        <v>272</v>
      </c>
      <c r="J16" s="74" t="s">
        <v>273</v>
      </c>
      <c r="K16" s="20"/>
      <c r="M16" s="14"/>
      <c r="N16" s="22" t="s">
        <v>274</v>
      </c>
      <c r="O16" s="1"/>
      <c r="P16" s="1"/>
      <c r="Q16" s="1"/>
      <c r="R16" s="1"/>
      <c r="S16" s="1"/>
      <c r="T16" s="455" t="s">
        <v>275</v>
      </c>
      <c r="U16" s="455"/>
      <c r="V16" s="455"/>
      <c r="W16" s="455"/>
      <c r="X16" s="455"/>
      <c r="Y16" s="455"/>
      <c r="Z16" s="455"/>
      <c r="AA16" s="455"/>
    </row>
    <row r="17" spans="1:32" s="6" customFormat="1" ht="21" customHeight="1" x14ac:dyDescent="0.25">
      <c r="A17" s="11"/>
      <c r="B17" s="11"/>
      <c r="C17" s="40"/>
      <c r="D17" s="7" t="s">
        <v>276</v>
      </c>
      <c r="F17" s="6" t="s">
        <v>246</v>
      </c>
      <c r="H17" s="75">
        <f>+SUM(W$27:W$217)</f>
        <v>25400</v>
      </c>
      <c r="I17" s="76" t="s">
        <v>277</v>
      </c>
      <c r="J17" s="77"/>
      <c r="K17" s="78"/>
      <c r="M17" s="14"/>
      <c r="N17" s="79" t="s">
        <v>4</v>
      </c>
      <c r="O17" s="462" t="s">
        <v>278</v>
      </c>
      <c r="P17" s="463"/>
      <c r="Q17" s="463"/>
      <c r="R17" s="464"/>
      <c r="S17" s="23"/>
      <c r="T17" s="455" t="s">
        <v>279</v>
      </c>
      <c r="U17" s="455"/>
      <c r="V17" s="455"/>
      <c r="W17" s="455"/>
      <c r="X17" s="455"/>
      <c r="Y17" s="455"/>
      <c r="Z17" s="455"/>
      <c r="AA17" s="455"/>
    </row>
    <row r="18" spans="1:32" s="6" customFormat="1" ht="21" customHeight="1" x14ac:dyDescent="0.25">
      <c r="A18" s="11"/>
      <c r="B18" s="11"/>
      <c r="C18" s="47"/>
      <c r="D18" s="80">
        <v>2021</v>
      </c>
      <c r="E18" s="41"/>
      <c r="F18" s="41" t="s">
        <v>246</v>
      </c>
      <c r="G18" s="41"/>
      <c r="H18" s="49">
        <f>+SUM(X$27:X$217)</f>
        <v>50791</v>
      </c>
      <c r="I18" s="76" t="s">
        <v>277</v>
      </c>
      <c r="J18" s="54"/>
      <c r="K18" s="55"/>
      <c r="M18" s="14"/>
      <c r="N18" s="46">
        <v>1</v>
      </c>
      <c r="O18" s="465" t="s">
        <v>280</v>
      </c>
      <c r="P18" s="465"/>
      <c r="Q18" s="465"/>
      <c r="R18" s="466"/>
      <c r="S18" s="23"/>
      <c r="T18" s="455"/>
      <c r="U18" s="455"/>
      <c r="V18" s="455"/>
      <c r="W18" s="455"/>
      <c r="X18" s="455"/>
      <c r="Y18" s="455"/>
      <c r="Z18" s="455"/>
      <c r="AA18" s="455"/>
    </row>
    <row r="19" spans="1:32" s="6" customFormat="1" ht="21" customHeight="1" x14ac:dyDescent="0.25">
      <c r="A19" s="11"/>
      <c r="B19" s="11"/>
      <c r="C19" s="40"/>
      <c r="D19" s="81">
        <v>2022</v>
      </c>
      <c r="F19" s="6" t="s">
        <v>246</v>
      </c>
      <c r="H19" s="49">
        <f>+SUM(Y$27:Y$217)</f>
        <v>38000</v>
      </c>
      <c r="I19" s="76" t="s">
        <v>277</v>
      </c>
      <c r="J19" s="82"/>
      <c r="K19" s="55"/>
      <c r="M19" s="14"/>
      <c r="N19" s="46">
        <v>2</v>
      </c>
      <c r="O19" s="460" t="s">
        <v>281</v>
      </c>
      <c r="P19" s="460"/>
      <c r="Q19" s="460"/>
      <c r="R19" s="461"/>
      <c r="S19" s="23"/>
      <c r="T19" s="467" t="s">
        <v>282</v>
      </c>
      <c r="U19" s="467"/>
      <c r="V19" s="467"/>
      <c r="W19" s="467"/>
      <c r="X19" s="467"/>
      <c r="Y19" s="467"/>
      <c r="Z19" s="467"/>
      <c r="AA19" s="467"/>
    </row>
    <row r="20" spans="1:32" s="6" customFormat="1" ht="21" customHeight="1" x14ac:dyDescent="0.25">
      <c r="A20" s="11"/>
      <c r="B20" s="11"/>
      <c r="C20" s="47"/>
      <c r="D20" s="80" t="s">
        <v>283</v>
      </c>
      <c r="E20" s="41"/>
      <c r="F20" s="41" t="s">
        <v>246</v>
      </c>
      <c r="G20" s="41"/>
      <c r="H20" s="49">
        <f>+SUM(Z$27:Z$217)</f>
        <v>71016.666666666657</v>
      </c>
      <c r="I20" s="76" t="s">
        <v>277</v>
      </c>
      <c r="J20" s="54"/>
      <c r="K20" s="55"/>
      <c r="M20" s="14"/>
      <c r="N20" s="46">
        <v>3</v>
      </c>
      <c r="O20" s="460" t="s">
        <v>284</v>
      </c>
      <c r="P20" s="460"/>
      <c r="Q20" s="460"/>
      <c r="R20" s="461"/>
      <c r="S20" s="23"/>
      <c r="T20" s="467"/>
      <c r="U20" s="467"/>
      <c r="V20" s="467"/>
      <c r="W20" s="467"/>
      <c r="X20" s="467"/>
      <c r="Y20" s="467"/>
      <c r="Z20" s="467"/>
      <c r="AA20" s="467"/>
    </row>
    <row r="21" spans="1:32" ht="21" customHeight="1" x14ac:dyDescent="0.25">
      <c r="C21" s="83"/>
      <c r="D21" s="84" t="s">
        <v>285</v>
      </c>
      <c r="E21" s="59"/>
      <c r="F21" s="59" t="s">
        <v>246</v>
      </c>
      <c r="G21" s="59"/>
      <c r="H21" s="60">
        <f>+SUM(AA$27:AA$217)</f>
        <v>99380.333325868691</v>
      </c>
      <c r="I21" s="85" t="s">
        <v>277</v>
      </c>
      <c r="J21" s="58"/>
      <c r="K21" s="62"/>
      <c r="M21" s="14"/>
      <c r="N21" s="46">
        <v>4</v>
      </c>
      <c r="O21" s="460" t="s">
        <v>259</v>
      </c>
      <c r="P21" s="460"/>
      <c r="Q21" s="460"/>
      <c r="R21" s="461"/>
      <c r="S21" s="23"/>
      <c r="T21" s="1"/>
      <c r="U21" s="1"/>
      <c r="V21" s="370"/>
      <c r="W21" s="370"/>
      <c r="X21" s="370"/>
      <c r="Y21" s="370"/>
      <c r="Z21" s="370"/>
      <c r="AA21" s="370"/>
    </row>
    <row r="22" spans="1:32" ht="21" customHeight="1" thickBot="1" x14ac:dyDescent="0.3">
      <c r="C22" s="87"/>
      <c r="D22" s="88" t="s">
        <v>286</v>
      </c>
      <c r="E22" s="89"/>
      <c r="F22" s="89"/>
      <c r="G22" s="59"/>
      <c r="H22" s="90">
        <f>+SUM(H17:H21)</f>
        <v>284587.99999253533</v>
      </c>
      <c r="I22" s="89"/>
      <c r="J22" s="91"/>
      <c r="K22" s="92"/>
      <c r="M22" s="14"/>
      <c r="N22" s="93">
        <v>5</v>
      </c>
      <c r="O22" s="456" t="s">
        <v>287</v>
      </c>
      <c r="P22" s="456"/>
      <c r="Q22" s="456"/>
      <c r="R22" s="457"/>
      <c r="S22" s="23"/>
      <c r="T22" s="23"/>
      <c r="U22" s="1"/>
      <c r="V22" s="370"/>
      <c r="W22" s="370"/>
      <c r="X22" s="370"/>
      <c r="Y22" s="370"/>
      <c r="Z22" s="370"/>
      <c r="AA22" s="370"/>
    </row>
    <row r="23" spans="1:32" ht="21" customHeight="1" thickBot="1" x14ac:dyDescent="0.3">
      <c r="C23" s="94"/>
      <c r="D23" s="95" t="s">
        <v>288</v>
      </c>
      <c r="E23" s="96"/>
      <c r="F23" s="96"/>
      <c r="G23" s="66"/>
      <c r="H23" s="67">
        <f>+H22/4.5</f>
        <v>63241.777776118965</v>
      </c>
      <c r="I23" s="96"/>
      <c r="J23" s="96"/>
      <c r="K23" s="69"/>
      <c r="M23" s="14"/>
      <c r="N23" s="1"/>
      <c r="O23" s="1"/>
      <c r="P23" s="1"/>
      <c r="Q23" s="1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32" ht="9" customHeight="1" x14ac:dyDescent="0.25"/>
    <row r="25" spans="1:32" s="99" customFormat="1" ht="21" customHeight="1" x14ac:dyDescent="0.3">
      <c r="A25" s="97"/>
      <c r="B25" s="97"/>
      <c r="C25" s="352"/>
      <c r="D25" s="352"/>
      <c r="E25" s="368" t="s">
        <v>1</v>
      </c>
      <c r="F25" s="369"/>
      <c r="G25" s="369"/>
      <c r="H25" s="369"/>
      <c r="I25" s="369"/>
      <c r="J25" s="369"/>
      <c r="K25" s="371"/>
      <c r="L25" s="98"/>
      <c r="M25" s="423" t="s">
        <v>289</v>
      </c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6"/>
      <c r="AC25" s="7"/>
      <c r="AD25" s="7"/>
      <c r="AE25" s="7"/>
      <c r="AF25" s="7"/>
    </row>
    <row r="26" spans="1:32" s="107" customFormat="1" ht="21" customHeight="1" x14ac:dyDescent="0.25">
      <c r="A26" s="100"/>
      <c r="B26" s="100"/>
      <c r="C26" s="101" t="s">
        <v>2</v>
      </c>
      <c r="D26" s="102" t="s">
        <v>3</v>
      </c>
      <c r="E26" s="103" t="s">
        <v>4</v>
      </c>
      <c r="F26" s="103" t="s">
        <v>5</v>
      </c>
      <c r="G26" s="103"/>
      <c r="H26" s="103" t="s">
        <v>290</v>
      </c>
      <c r="I26" s="103" t="s">
        <v>291</v>
      </c>
      <c r="J26" s="103" t="s">
        <v>292</v>
      </c>
      <c r="K26" s="103" t="s">
        <v>293</v>
      </c>
      <c r="L26" s="104"/>
      <c r="M26" s="105" t="s">
        <v>257</v>
      </c>
      <c r="N26" s="105" t="s">
        <v>294</v>
      </c>
      <c r="O26" s="105" t="s">
        <v>263</v>
      </c>
      <c r="P26" s="105" t="s">
        <v>266</v>
      </c>
      <c r="Q26" s="103" t="s">
        <v>269</v>
      </c>
      <c r="R26" s="106" t="s">
        <v>295</v>
      </c>
      <c r="S26" s="106" t="s">
        <v>296</v>
      </c>
      <c r="T26" s="106" t="s">
        <v>297</v>
      </c>
      <c r="U26" s="106" t="s">
        <v>298</v>
      </c>
      <c r="V26" s="106" t="s">
        <v>299</v>
      </c>
      <c r="W26" s="106" t="s">
        <v>300</v>
      </c>
      <c r="X26" s="106" t="s">
        <v>301</v>
      </c>
      <c r="Y26" s="106" t="s">
        <v>302</v>
      </c>
      <c r="Z26" s="106" t="s">
        <v>303</v>
      </c>
      <c r="AA26" s="106" t="s">
        <v>304</v>
      </c>
      <c r="AB26" s="6"/>
      <c r="AC26" s="7"/>
      <c r="AD26" s="7"/>
      <c r="AE26" s="7"/>
      <c r="AF26" s="7"/>
    </row>
    <row r="27" spans="1:32" ht="21" customHeight="1" x14ac:dyDescent="0.25">
      <c r="B27" s="7"/>
      <c r="D27" s="7" t="s">
        <v>7</v>
      </c>
      <c r="E27" s="8">
        <v>2</v>
      </c>
      <c r="F27" s="6" t="s">
        <v>8</v>
      </c>
      <c r="G27" s="6" t="s">
        <v>9</v>
      </c>
      <c r="H27" s="108">
        <v>1700</v>
      </c>
      <c r="I27" s="108">
        <v>0</v>
      </c>
      <c r="J27" s="108">
        <v>0</v>
      </c>
      <c r="K27" s="109">
        <f t="shared" ref="K27:K117" si="0">+IF(E27=1,(H27-I27-J27),IF(E27=2,(H27-I27-J27),0))</f>
        <v>1700</v>
      </c>
      <c r="M27" s="110" t="s">
        <v>305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08">
        <f t="shared" ref="W27:W33" si="1">R27*($H27-$I27)</f>
        <v>0</v>
      </c>
      <c r="X27" s="108">
        <f t="shared" ref="X27:X33" si="2">S27*($H27-$I27)-W27</f>
        <v>0</v>
      </c>
      <c r="Y27" s="108">
        <v>0</v>
      </c>
      <c r="Z27" s="108">
        <v>150</v>
      </c>
      <c r="AA27" s="108">
        <v>650</v>
      </c>
    </row>
    <row r="28" spans="1:32" ht="21" customHeight="1" x14ac:dyDescent="0.25">
      <c r="B28" s="7"/>
      <c r="D28" s="7" t="s">
        <v>10</v>
      </c>
      <c r="E28" s="8">
        <v>2</v>
      </c>
      <c r="F28" s="6" t="s">
        <v>8</v>
      </c>
      <c r="G28" s="6" t="s">
        <v>9</v>
      </c>
      <c r="H28" s="108">
        <v>8000</v>
      </c>
      <c r="I28" s="108">
        <v>8000</v>
      </c>
      <c r="J28" s="108">
        <v>0</v>
      </c>
      <c r="K28" s="109">
        <f t="shared" si="0"/>
        <v>0</v>
      </c>
      <c r="M28" s="112">
        <v>2.5</v>
      </c>
      <c r="N28" s="6">
        <f t="shared" ref="N28:N87" si="3">+M28*12</f>
        <v>30</v>
      </c>
      <c r="O28" s="112">
        <v>-6</v>
      </c>
      <c r="P28" s="112">
        <v>0</v>
      </c>
      <c r="Q28" s="6">
        <f t="shared" ref="Q28:Q46" si="4">+O28+P28+18</f>
        <v>12</v>
      </c>
      <c r="R28" s="113">
        <f t="shared" ref="R28:V30" si="5">IFERROR(IF(AND((R$219-$Q28)/$N28&gt;0,(R$219-$Q28)/$N28&lt;1),(R$219-$Q28)/$N28,IF((R$219-$Q28)/$N28&gt;0,1,0)),0)</f>
        <v>0</v>
      </c>
      <c r="S28" s="113">
        <f t="shared" si="5"/>
        <v>0.2</v>
      </c>
      <c r="T28" s="113">
        <f t="shared" si="5"/>
        <v>0.6</v>
      </c>
      <c r="U28" s="113">
        <f t="shared" si="5"/>
        <v>1</v>
      </c>
      <c r="V28" s="113">
        <f t="shared" si="5"/>
        <v>1</v>
      </c>
      <c r="W28" s="114">
        <f t="shared" si="1"/>
        <v>0</v>
      </c>
      <c r="X28" s="114">
        <f t="shared" si="2"/>
        <v>0</v>
      </c>
      <c r="Y28" s="114">
        <f t="shared" ref="Y28:Y33" si="6">T28*($H28-$I28)-SUM(W28:X28)</f>
        <v>0</v>
      </c>
      <c r="Z28" s="114">
        <f t="shared" ref="Z28:Z33" si="7">U28*($H28-$I28)-SUM(W28:Y28)</f>
        <v>0</v>
      </c>
      <c r="AA28" s="114">
        <f t="shared" ref="AA28:AA33" si="8">V28*($H28-$I28)-SUM(W28:Z28)</f>
        <v>0</v>
      </c>
    </row>
    <row r="29" spans="1:32" s="10" customFormat="1" ht="21" customHeight="1" x14ac:dyDescent="0.25">
      <c r="A29" s="115"/>
      <c r="B29" s="7"/>
      <c r="C29" s="6"/>
      <c r="D29" s="10" t="s">
        <v>11</v>
      </c>
      <c r="E29" s="116">
        <v>2</v>
      </c>
      <c r="F29" s="117" t="s">
        <v>8</v>
      </c>
      <c r="G29" s="117" t="s">
        <v>9</v>
      </c>
      <c r="H29" s="118">
        <v>0</v>
      </c>
      <c r="I29" s="118">
        <v>0</v>
      </c>
      <c r="J29" s="118">
        <v>0</v>
      </c>
      <c r="K29" s="119">
        <f t="shared" si="0"/>
        <v>0</v>
      </c>
      <c r="L29" s="117"/>
      <c r="M29" s="120">
        <v>4</v>
      </c>
      <c r="N29" s="117">
        <f t="shared" si="3"/>
        <v>48</v>
      </c>
      <c r="O29" s="120">
        <v>5.4</v>
      </c>
      <c r="P29" s="120">
        <v>16</v>
      </c>
      <c r="Q29" s="117">
        <f t="shared" si="4"/>
        <v>39.4</v>
      </c>
      <c r="R29" s="121">
        <f t="shared" si="5"/>
        <v>0</v>
      </c>
      <c r="S29" s="121">
        <f t="shared" si="5"/>
        <v>0</v>
      </c>
      <c r="T29" s="121">
        <f t="shared" si="5"/>
        <v>0</v>
      </c>
      <c r="U29" s="121">
        <f t="shared" si="5"/>
        <v>5.4166666666666696E-2</v>
      </c>
      <c r="V29" s="121">
        <f t="shared" si="5"/>
        <v>0.3041666666666667</v>
      </c>
      <c r="W29" s="122">
        <f t="shared" si="1"/>
        <v>0</v>
      </c>
      <c r="X29" s="122">
        <f t="shared" si="2"/>
        <v>0</v>
      </c>
      <c r="Y29" s="122">
        <f t="shared" ref="Y29:Y30" si="9">T29*($H29-$I29)-SUM(W29:X29)</f>
        <v>0</v>
      </c>
      <c r="Z29" s="122">
        <f t="shared" ref="Z29:Z30" si="10">U29*($H29-$I29)-SUM(W29:Y29)</f>
        <v>0</v>
      </c>
      <c r="AA29" s="122">
        <f t="shared" si="8"/>
        <v>0</v>
      </c>
      <c r="AB29" s="117"/>
    </row>
    <row r="30" spans="1:32" s="10" customFormat="1" ht="21" customHeight="1" x14ac:dyDescent="0.25">
      <c r="A30" s="115"/>
      <c r="B30" s="7"/>
      <c r="C30" s="6"/>
      <c r="D30" s="10" t="s">
        <v>523</v>
      </c>
      <c r="E30" s="116">
        <v>2</v>
      </c>
      <c r="F30" s="117" t="s">
        <v>8</v>
      </c>
      <c r="G30" s="117" t="s">
        <v>9</v>
      </c>
      <c r="H30" s="118">
        <v>0</v>
      </c>
      <c r="I30" s="118">
        <v>0</v>
      </c>
      <c r="J30" s="118">
        <v>0</v>
      </c>
      <c r="K30" s="119">
        <f t="shared" si="0"/>
        <v>0</v>
      </c>
      <c r="L30" s="117"/>
      <c r="M30" s="120">
        <v>0.5</v>
      </c>
      <c r="N30" s="117">
        <f t="shared" si="3"/>
        <v>6</v>
      </c>
      <c r="O30" s="120">
        <v>0</v>
      </c>
      <c r="P30" s="120">
        <v>6</v>
      </c>
      <c r="Q30" s="117">
        <f t="shared" si="4"/>
        <v>24</v>
      </c>
      <c r="R30" s="121">
        <f t="shared" si="5"/>
        <v>0</v>
      </c>
      <c r="S30" s="121">
        <f t="shared" si="5"/>
        <v>0</v>
      </c>
      <c r="T30" s="121">
        <f t="shared" si="5"/>
        <v>1</v>
      </c>
      <c r="U30" s="121">
        <f t="shared" si="5"/>
        <v>1</v>
      </c>
      <c r="V30" s="121">
        <f t="shared" si="5"/>
        <v>1</v>
      </c>
      <c r="W30" s="122">
        <f t="shared" si="1"/>
        <v>0</v>
      </c>
      <c r="X30" s="122">
        <f t="shared" si="2"/>
        <v>0</v>
      </c>
      <c r="Y30" s="122">
        <f t="shared" si="9"/>
        <v>0</v>
      </c>
      <c r="Z30" s="122">
        <f t="shared" si="10"/>
        <v>0</v>
      </c>
      <c r="AA30" s="122">
        <f t="shared" si="8"/>
        <v>0</v>
      </c>
      <c r="AB30" s="117"/>
    </row>
    <row r="31" spans="1:32" s="10" customFormat="1" ht="21" customHeight="1" x14ac:dyDescent="0.25">
      <c r="A31" s="115"/>
      <c r="B31" s="123"/>
      <c r="C31" s="6"/>
      <c r="D31" s="124" t="s">
        <v>12</v>
      </c>
      <c r="E31" s="116">
        <v>1</v>
      </c>
      <c r="F31" s="117" t="s">
        <v>8</v>
      </c>
      <c r="G31" s="117" t="s">
        <v>9</v>
      </c>
      <c r="H31" s="118">
        <v>0</v>
      </c>
      <c r="I31" s="118">
        <v>0</v>
      </c>
      <c r="J31" s="118">
        <v>0</v>
      </c>
      <c r="K31" s="119"/>
      <c r="L31" s="117"/>
      <c r="M31" s="120"/>
      <c r="N31" s="117"/>
      <c r="O31" s="120"/>
      <c r="P31" s="120"/>
      <c r="Q31" s="117"/>
      <c r="R31" s="121"/>
      <c r="S31" s="121"/>
      <c r="T31" s="121"/>
      <c r="U31" s="121"/>
      <c r="V31" s="121"/>
      <c r="W31" s="122"/>
      <c r="X31" s="122"/>
      <c r="Y31" s="122"/>
      <c r="Z31" s="122"/>
      <c r="AA31" s="122"/>
      <c r="AB31" s="117"/>
    </row>
    <row r="32" spans="1:32" s="10" customFormat="1" ht="21" customHeight="1" x14ac:dyDescent="0.25">
      <c r="A32" s="115"/>
      <c r="B32" s="7"/>
      <c r="C32" s="6"/>
      <c r="D32" s="10" t="s">
        <v>13</v>
      </c>
      <c r="E32" s="116">
        <v>4</v>
      </c>
      <c r="F32" s="117" t="s">
        <v>8</v>
      </c>
      <c r="G32" s="117" t="s">
        <v>9</v>
      </c>
      <c r="H32" s="118">
        <v>0</v>
      </c>
      <c r="I32" s="118">
        <v>0</v>
      </c>
      <c r="J32" s="118">
        <v>0</v>
      </c>
      <c r="K32" s="119"/>
      <c r="L32" s="117"/>
      <c r="M32" s="120"/>
      <c r="N32" s="117"/>
      <c r="O32" s="120"/>
      <c r="P32" s="120"/>
      <c r="Q32" s="117"/>
      <c r="R32" s="121"/>
      <c r="S32" s="121"/>
      <c r="T32" s="121"/>
      <c r="U32" s="121"/>
      <c r="V32" s="121"/>
      <c r="W32" s="122"/>
      <c r="X32" s="122"/>
      <c r="Y32" s="122"/>
      <c r="Z32" s="122"/>
      <c r="AA32" s="122"/>
      <c r="AB32" s="117"/>
    </row>
    <row r="33" spans="1:28" ht="21" customHeight="1" x14ac:dyDescent="0.25">
      <c r="B33" s="7"/>
      <c r="D33" s="7" t="s">
        <v>14</v>
      </c>
      <c r="E33" s="8">
        <v>2</v>
      </c>
      <c r="F33" s="6" t="s">
        <v>8</v>
      </c>
      <c r="G33" s="6" t="s">
        <v>9</v>
      </c>
      <c r="H33" s="108">
        <v>1400</v>
      </c>
      <c r="I33" s="108">
        <v>0</v>
      </c>
      <c r="J33" s="108">
        <v>0</v>
      </c>
      <c r="K33" s="109">
        <f t="shared" si="0"/>
        <v>1400</v>
      </c>
      <c r="M33" s="112">
        <v>1</v>
      </c>
      <c r="N33" s="6">
        <f t="shared" si="3"/>
        <v>12</v>
      </c>
      <c r="O33" s="112">
        <v>0</v>
      </c>
      <c r="P33" s="112">
        <v>14</v>
      </c>
      <c r="Q33" s="6">
        <f t="shared" si="4"/>
        <v>32</v>
      </c>
      <c r="R33" s="113">
        <f t="shared" ref="R33:V34" si="11">IFERROR(IF(AND((R$219-$Q33)/$N33&gt;0,(R$219-$Q33)/$N33&lt;1),(R$219-$Q33)/$N33,IF((R$219-$Q33)/$N33&gt;0,1,0)),0)</f>
        <v>0</v>
      </c>
      <c r="S33" s="113">
        <f t="shared" si="11"/>
        <v>0</v>
      </c>
      <c r="T33" s="113">
        <f t="shared" si="11"/>
        <v>0</v>
      </c>
      <c r="U33" s="113">
        <f t="shared" si="11"/>
        <v>0.83333333333333337</v>
      </c>
      <c r="V33" s="113">
        <f t="shared" si="11"/>
        <v>1</v>
      </c>
      <c r="W33" s="114">
        <f t="shared" si="1"/>
        <v>0</v>
      </c>
      <c r="X33" s="114">
        <f t="shared" si="2"/>
        <v>0</v>
      </c>
      <c r="Y33" s="114">
        <f t="shared" si="6"/>
        <v>0</v>
      </c>
      <c r="Z33" s="114">
        <f t="shared" si="7"/>
        <v>1166.6666666666667</v>
      </c>
      <c r="AA33" s="114">
        <f t="shared" si="8"/>
        <v>233.33333333333326</v>
      </c>
    </row>
    <row r="34" spans="1:28" ht="21" customHeight="1" x14ac:dyDescent="0.25">
      <c r="B34" s="7"/>
      <c r="D34" s="7" t="s">
        <v>15</v>
      </c>
      <c r="E34" s="8">
        <v>4</v>
      </c>
      <c r="F34" s="6" t="s">
        <v>8</v>
      </c>
      <c r="G34" s="6" t="s">
        <v>16</v>
      </c>
      <c r="H34" s="108">
        <v>300</v>
      </c>
      <c r="I34" s="108">
        <v>0</v>
      </c>
      <c r="J34" s="108">
        <v>0</v>
      </c>
      <c r="K34" s="109">
        <f t="shared" si="0"/>
        <v>0</v>
      </c>
      <c r="M34" s="112">
        <v>3</v>
      </c>
      <c r="N34" s="6">
        <f t="shared" si="3"/>
        <v>36</v>
      </c>
      <c r="O34" s="112">
        <v>48</v>
      </c>
      <c r="P34" s="112">
        <v>16</v>
      </c>
      <c r="Q34" s="6">
        <f t="shared" si="4"/>
        <v>82</v>
      </c>
      <c r="R34" s="113">
        <f t="shared" si="11"/>
        <v>0</v>
      </c>
      <c r="S34" s="113">
        <f t="shared" si="11"/>
        <v>0</v>
      </c>
      <c r="T34" s="113">
        <f t="shared" si="11"/>
        <v>0</v>
      </c>
      <c r="U34" s="113">
        <f t="shared" si="11"/>
        <v>0</v>
      </c>
      <c r="V34" s="113">
        <f t="shared" si="11"/>
        <v>0</v>
      </c>
      <c r="W34" s="114">
        <f>R34*($H34-$I34)</f>
        <v>0</v>
      </c>
      <c r="X34" s="114">
        <f>S34*($H34-$I34)-W34</f>
        <v>0</v>
      </c>
      <c r="Y34" s="114">
        <f>T34*($H34-$I34)-SUM(W34:X34)</f>
        <v>0</v>
      </c>
      <c r="Z34" s="114">
        <f>U34*($H34-$I34)-SUM(W34:Y34)</f>
        <v>0</v>
      </c>
      <c r="AA34" s="114">
        <f>V34*($H34-$I34)-SUM(W34:Z34)</f>
        <v>0</v>
      </c>
    </row>
    <row r="35" spans="1:28" s="10" customFormat="1" ht="21" customHeight="1" x14ac:dyDescent="0.25">
      <c r="A35" s="115"/>
      <c r="B35" s="123"/>
      <c r="C35" s="6"/>
      <c r="D35" s="124" t="s">
        <v>17</v>
      </c>
      <c r="E35" s="116">
        <v>5</v>
      </c>
      <c r="F35" s="117" t="s">
        <v>8</v>
      </c>
      <c r="G35" s="117" t="s">
        <v>18</v>
      </c>
      <c r="H35" s="118"/>
      <c r="I35" s="118"/>
      <c r="J35" s="118"/>
      <c r="K35" s="119"/>
      <c r="L35" s="117"/>
      <c r="M35" s="120"/>
      <c r="N35" s="117"/>
      <c r="O35" s="120"/>
      <c r="P35" s="120"/>
      <c r="Q35" s="117"/>
      <c r="R35" s="121"/>
      <c r="S35" s="121"/>
      <c r="T35" s="121"/>
      <c r="U35" s="121"/>
      <c r="V35" s="121"/>
      <c r="W35" s="122"/>
      <c r="X35" s="122"/>
      <c r="Y35" s="122"/>
      <c r="Z35" s="122"/>
      <c r="AA35" s="122"/>
      <c r="AB35" s="117"/>
    </row>
    <row r="36" spans="1:28" ht="21" customHeight="1" x14ac:dyDescent="0.25">
      <c r="B36" s="125"/>
      <c r="D36" s="7" t="s">
        <v>19</v>
      </c>
      <c r="E36" s="8">
        <v>1</v>
      </c>
      <c r="F36" s="6" t="s">
        <v>8</v>
      </c>
      <c r="G36" s="6" t="s">
        <v>18</v>
      </c>
      <c r="H36" s="108">
        <v>8000</v>
      </c>
      <c r="I36" s="108">
        <v>0</v>
      </c>
      <c r="J36" s="108">
        <v>2016</v>
      </c>
      <c r="K36" s="109">
        <f t="shared" si="0"/>
        <v>5984</v>
      </c>
      <c r="M36" s="110" t="s">
        <v>305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08">
        <v>0</v>
      </c>
      <c r="X36" s="108">
        <v>2016</v>
      </c>
      <c r="Y36" s="108">
        <v>0</v>
      </c>
      <c r="Z36" s="108">
        <v>0</v>
      </c>
      <c r="AA36" s="108">
        <v>1984</v>
      </c>
    </row>
    <row r="37" spans="1:28" ht="21" customHeight="1" x14ac:dyDescent="0.25">
      <c r="B37" s="125"/>
      <c r="D37" s="7" t="s">
        <v>20</v>
      </c>
      <c r="E37" s="8">
        <v>2</v>
      </c>
      <c r="F37" s="6" t="s">
        <v>8</v>
      </c>
      <c r="G37" s="6" t="s">
        <v>18</v>
      </c>
      <c r="H37" s="108">
        <v>4500</v>
      </c>
      <c r="I37" s="108">
        <v>0</v>
      </c>
      <c r="J37" s="108">
        <v>0</v>
      </c>
      <c r="K37" s="109">
        <f t="shared" si="0"/>
        <v>4500</v>
      </c>
      <c r="M37" s="112">
        <v>1</v>
      </c>
      <c r="N37" s="6">
        <f t="shared" ref="N37" si="12">+M37*12</f>
        <v>12</v>
      </c>
      <c r="O37" s="112">
        <v>48</v>
      </c>
      <c r="P37" s="112">
        <v>16</v>
      </c>
      <c r="Q37" s="6">
        <f t="shared" ref="Q37" si="13">+O37+P37+18</f>
        <v>82</v>
      </c>
      <c r="R37" s="113">
        <f t="shared" ref="R37:V38" si="14">IFERROR(IF(AND((R$219-$Q37)/$N37&gt;0,(R$219-$Q37)/$N37&lt;1),(R$219-$Q37)/$N37,IF((R$219-$Q37)/$N37&gt;0,1,0)),0)</f>
        <v>0</v>
      </c>
      <c r="S37" s="113">
        <f t="shared" si="14"/>
        <v>0</v>
      </c>
      <c r="T37" s="113">
        <f t="shared" si="14"/>
        <v>0</v>
      </c>
      <c r="U37" s="113">
        <f t="shared" si="14"/>
        <v>0</v>
      </c>
      <c r="V37" s="113">
        <f t="shared" si="14"/>
        <v>0</v>
      </c>
      <c r="W37" s="114">
        <f t="shared" ref="W37" si="15">R37*($H37-$I37)</f>
        <v>0</v>
      </c>
      <c r="X37" s="114">
        <f t="shared" ref="X37" si="16">S37*($H37-$I37)-W37</f>
        <v>0</v>
      </c>
      <c r="Y37" s="114">
        <f t="shared" ref="Y37" si="17">T37*($H37-$I37)-SUM(W37:X37)</f>
        <v>0</v>
      </c>
      <c r="Z37" s="114">
        <f t="shared" ref="Z37" si="18">U37*($H37-$I37)-SUM(W37:Y37)</f>
        <v>0</v>
      </c>
      <c r="AA37" s="114">
        <f t="shared" ref="AA37" si="19">V37*($H37-$I37)-SUM(W37:Z37)</f>
        <v>0</v>
      </c>
    </row>
    <row r="38" spans="1:28" ht="21" customHeight="1" x14ac:dyDescent="0.25">
      <c r="A38" s="126"/>
      <c r="B38" s="125"/>
      <c r="D38" s="127" t="s">
        <v>21</v>
      </c>
      <c r="E38" s="8">
        <v>3</v>
      </c>
      <c r="F38" s="6" t="s">
        <v>8</v>
      </c>
      <c r="G38" s="6" t="s">
        <v>18</v>
      </c>
      <c r="H38" s="108">
        <f>60000-H37-H36</f>
        <v>47500</v>
      </c>
      <c r="I38" s="108">
        <v>0</v>
      </c>
      <c r="J38" s="108">
        <v>0</v>
      </c>
      <c r="K38" s="109">
        <f>+IF(E38=1,(H38-I38-J38),IF(E38=2,(H38-I38-J38),0))</f>
        <v>0</v>
      </c>
      <c r="M38" s="128">
        <v>7.9166666814404421</v>
      </c>
      <c r="N38" s="6">
        <f>+M38*12</f>
        <v>95.000000177285301</v>
      </c>
      <c r="O38" s="112">
        <v>12</v>
      </c>
      <c r="P38" s="112">
        <v>16</v>
      </c>
      <c r="Q38" s="6">
        <f>+O38+P38+18</f>
        <v>46</v>
      </c>
      <c r="R38" s="113">
        <f t="shared" si="14"/>
        <v>0</v>
      </c>
      <c r="S38" s="113">
        <f t="shared" si="14"/>
        <v>0</v>
      </c>
      <c r="T38" s="113">
        <f t="shared" si="14"/>
        <v>0</v>
      </c>
      <c r="U38" s="113">
        <f t="shared" si="14"/>
        <v>0</v>
      </c>
      <c r="V38" s="113">
        <f t="shared" si="14"/>
        <v>8.4210526158639068E-2</v>
      </c>
      <c r="W38" s="114">
        <f>R38*($H38-$I38)</f>
        <v>0</v>
      </c>
      <c r="X38" s="114">
        <f>S38*($H38-$I38)-W38</f>
        <v>0</v>
      </c>
      <c r="Y38" s="114">
        <f>T38*($H38-$I38)-SUM(W38:X38)</f>
        <v>0</v>
      </c>
      <c r="Z38" s="114">
        <f>U38*($H38-$I38)-SUM(W38:Y38)</f>
        <v>0</v>
      </c>
      <c r="AA38" s="114">
        <f>V38*($H38-$I38)-SUM(W38:Z38)</f>
        <v>3999.9999925353559</v>
      </c>
    </row>
    <row r="39" spans="1:28" ht="21" customHeight="1" x14ac:dyDescent="0.25">
      <c r="B39" s="7"/>
      <c r="D39" s="7" t="s">
        <v>22</v>
      </c>
      <c r="E39" s="8">
        <v>4</v>
      </c>
      <c r="F39" s="6" t="s">
        <v>8</v>
      </c>
      <c r="G39" s="6" t="s">
        <v>18</v>
      </c>
      <c r="H39" s="108">
        <v>6600</v>
      </c>
      <c r="I39" s="108">
        <v>0</v>
      </c>
      <c r="J39" s="108">
        <v>6600</v>
      </c>
      <c r="K39" s="109">
        <f t="shared" ref="K39" si="20">+IF(E39=1,(H39-I39-J39),IF(E39=2,(H39-I39-J39),0))</f>
        <v>0</v>
      </c>
      <c r="M39" s="110" t="s">
        <v>305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08">
        <v>0</v>
      </c>
      <c r="X39" s="108">
        <v>0</v>
      </c>
      <c r="Y39" s="108">
        <v>6600</v>
      </c>
      <c r="Z39" s="108">
        <v>0</v>
      </c>
      <c r="AA39" s="108">
        <v>0</v>
      </c>
    </row>
    <row r="40" spans="1:28" s="10" customFormat="1" ht="21" customHeight="1" x14ac:dyDescent="0.25">
      <c r="A40" s="115"/>
      <c r="B40" s="123"/>
      <c r="C40" s="6"/>
      <c r="D40" s="124" t="s">
        <v>23</v>
      </c>
      <c r="E40" s="116">
        <v>1</v>
      </c>
      <c r="F40" s="129" t="s">
        <v>24</v>
      </c>
      <c r="G40" s="117" t="s">
        <v>18</v>
      </c>
      <c r="H40" s="118"/>
      <c r="I40" s="118"/>
      <c r="J40" s="118"/>
      <c r="K40" s="119"/>
      <c r="L40" s="117"/>
      <c r="M40" s="120"/>
      <c r="N40" s="117"/>
      <c r="O40" s="120"/>
      <c r="P40" s="120"/>
      <c r="Q40" s="117"/>
      <c r="R40" s="121"/>
      <c r="S40" s="121"/>
      <c r="T40" s="121"/>
      <c r="U40" s="121"/>
      <c r="V40" s="121"/>
      <c r="W40" s="122"/>
      <c r="X40" s="122"/>
      <c r="Y40" s="122"/>
      <c r="Z40" s="122"/>
      <c r="AA40" s="122"/>
      <c r="AB40" s="117"/>
    </row>
    <row r="41" spans="1:28" ht="21" customHeight="1" x14ac:dyDescent="0.25">
      <c r="B41" s="123"/>
      <c r="D41" s="7" t="s">
        <v>25</v>
      </c>
      <c r="E41" s="8">
        <v>1</v>
      </c>
      <c r="F41" s="6" t="s">
        <v>24</v>
      </c>
      <c r="G41" s="6" t="s">
        <v>18</v>
      </c>
      <c r="H41" s="108">
        <v>58000</v>
      </c>
      <c r="I41" s="108">
        <v>0</v>
      </c>
      <c r="J41" s="108">
        <v>17500</v>
      </c>
      <c r="K41" s="109">
        <f t="shared" si="0"/>
        <v>40500</v>
      </c>
      <c r="M41" s="110" t="s">
        <v>305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08">
        <v>17500</v>
      </c>
      <c r="X41" s="108">
        <v>0</v>
      </c>
      <c r="Y41" s="108">
        <v>0</v>
      </c>
      <c r="Z41" s="108">
        <v>8000</v>
      </c>
      <c r="AA41" s="108">
        <v>0</v>
      </c>
      <c r="AB41" s="109"/>
    </row>
    <row r="42" spans="1:28" s="10" customFormat="1" ht="21" customHeight="1" x14ac:dyDescent="0.25">
      <c r="A42" s="115"/>
      <c r="B42" s="123"/>
      <c r="C42" s="6"/>
      <c r="D42" s="124" t="s">
        <v>26</v>
      </c>
      <c r="E42" s="116">
        <v>4</v>
      </c>
      <c r="F42" s="129" t="s">
        <v>24</v>
      </c>
      <c r="G42" s="117" t="s">
        <v>18</v>
      </c>
      <c r="H42" s="118"/>
      <c r="I42" s="118"/>
      <c r="J42" s="118"/>
      <c r="K42" s="119"/>
      <c r="L42" s="117"/>
      <c r="M42" s="120"/>
      <c r="N42" s="117"/>
      <c r="O42" s="120"/>
      <c r="P42" s="120"/>
      <c r="Q42" s="117"/>
      <c r="R42" s="121"/>
      <c r="S42" s="121"/>
      <c r="T42" s="121"/>
      <c r="U42" s="121"/>
      <c r="V42" s="121"/>
      <c r="W42" s="122"/>
      <c r="X42" s="122"/>
      <c r="Y42" s="122"/>
      <c r="Z42" s="122"/>
      <c r="AA42" s="122"/>
      <c r="AB42" s="117"/>
    </row>
    <row r="43" spans="1:28" ht="21" customHeight="1" x14ac:dyDescent="0.25">
      <c r="B43" s="7"/>
      <c r="D43" s="7" t="s">
        <v>27</v>
      </c>
      <c r="E43" s="8">
        <v>5</v>
      </c>
      <c r="F43" s="6" t="s">
        <v>24</v>
      </c>
      <c r="G43" s="6" t="s">
        <v>24</v>
      </c>
      <c r="H43" s="130">
        <v>30000</v>
      </c>
      <c r="I43" s="108">
        <v>0</v>
      </c>
      <c r="J43" s="108">
        <v>0</v>
      </c>
      <c r="K43" s="109">
        <f t="shared" si="0"/>
        <v>0</v>
      </c>
      <c r="M43" s="112">
        <v>20</v>
      </c>
      <c r="N43" s="6">
        <f t="shared" si="3"/>
        <v>240</v>
      </c>
      <c r="O43" s="112">
        <v>180</v>
      </c>
      <c r="P43" s="112">
        <v>14</v>
      </c>
      <c r="Q43" s="6">
        <f t="shared" si="4"/>
        <v>212</v>
      </c>
      <c r="R43" s="113">
        <f>IFERROR(IF(AND((R$219-$Q43)/$N43&gt;0,(R$219-$Q43)/$N43&lt;1),(R$219-$Q43)/$N43,IF((R$219-$Q43)/$N43&gt;0,1,0)),0)</f>
        <v>0</v>
      </c>
      <c r="S43" s="113">
        <f>IFERROR(IF(AND((S$219-$Q43)/$N43&gt;0,(S$219-$Q43)/$N43&lt;1),(S$219-$Q43)/$N43,IF((S$219-$Q43)/$N43&gt;0,1,0)),0)</f>
        <v>0</v>
      </c>
      <c r="T43" s="113">
        <f>IFERROR(IF(AND((T$219-$Q43)/$N43&gt;0,(T$219-$Q43)/$N43&lt;1),(T$219-$Q43)/$N43,IF((T$219-$Q43)/$N43&gt;0,1,0)),0)</f>
        <v>0</v>
      </c>
      <c r="U43" s="113">
        <f>IFERROR(IF(AND((U$219-$Q43)/$N43&gt;0,(U$219-$Q43)/$N43&lt;1),(U$219-$Q43)/$N43,IF((U$219-$Q43)/$N43&gt;0,1,0)),0)</f>
        <v>0</v>
      </c>
      <c r="V43" s="113">
        <f>IFERROR(IF(AND((V$219-$Q43)/$N43&gt;0,(V$219-$Q43)/$N43&lt;1),(V$219-$Q43)/$N43,IF((V$219-$Q43)/$N43&gt;0,1,0)),0)</f>
        <v>0</v>
      </c>
      <c r="W43" s="114">
        <f>R43*($H43-$I43)</f>
        <v>0</v>
      </c>
      <c r="X43" s="114">
        <f>S43*($H43-$I43)-W43</f>
        <v>0</v>
      </c>
      <c r="Y43" s="114">
        <f>T43*($H43-$I43)-SUM(W43:X43)</f>
        <v>0</v>
      </c>
      <c r="Z43" s="114">
        <f>U43*($H43-$I43)-SUM(W43:Y43)</f>
        <v>0</v>
      </c>
      <c r="AA43" s="114">
        <f>V43*($H43-$I43)-SUM(W43:Z43)</f>
        <v>0</v>
      </c>
    </row>
    <row r="44" spans="1:28" s="10" customFormat="1" ht="21" customHeight="1" x14ac:dyDescent="0.25">
      <c r="A44" s="115"/>
      <c r="B44" s="123"/>
      <c r="C44" s="6"/>
      <c r="D44" s="124" t="s">
        <v>28</v>
      </c>
      <c r="E44" s="116">
        <v>5</v>
      </c>
      <c r="F44" s="129" t="s">
        <v>24</v>
      </c>
      <c r="G44" s="117" t="s">
        <v>24</v>
      </c>
      <c r="H44" s="118"/>
      <c r="I44" s="118"/>
      <c r="J44" s="118"/>
      <c r="K44" s="119"/>
      <c r="L44" s="117"/>
      <c r="M44" s="120"/>
      <c r="N44" s="117"/>
      <c r="O44" s="120"/>
      <c r="P44" s="120"/>
      <c r="Q44" s="117"/>
      <c r="R44" s="121"/>
      <c r="S44" s="121"/>
      <c r="T44" s="121"/>
      <c r="U44" s="121"/>
      <c r="V44" s="121"/>
      <c r="W44" s="122"/>
      <c r="X44" s="122"/>
      <c r="Y44" s="122"/>
      <c r="Z44" s="122"/>
      <c r="AA44" s="122"/>
      <c r="AB44" s="117"/>
    </row>
    <row r="45" spans="1:28" ht="21" customHeight="1" x14ac:dyDescent="0.25">
      <c r="B45" s="7"/>
      <c r="D45" s="7" t="s">
        <v>29</v>
      </c>
      <c r="E45" s="8">
        <v>3</v>
      </c>
      <c r="F45" s="6" t="s">
        <v>24</v>
      </c>
      <c r="G45" s="6" t="s">
        <v>24</v>
      </c>
      <c r="H45" s="108">
        <v>10000</v>
      </c>
      <c r="I45" s="108">
        <v>0</v>
      </c>
      <c r="J45" s="108">
        <v>0</v>
      </c>
      <c r="K45" s="109">
        <f t="shared" si="0"/>
        <v>0</v>
      </c>
      <c r="M45" s="110" t="s">
        <v>305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08">
        <v>0</v>
      </c>
      <c r="X45" s="108">
        <v>0</v>
      </c>
      <c r="Y45" s="108">
        <v>0</v>
      </c>
      <c r="Z45" s="108">
        <v>0</v>
      </c>
      <c r="AA45" s="108">
        <v>3000</v>
      </c>
    </row>
    <row r="46" spans="1:28" ht="21" customHeight="1" x14ac:dyDescent="0.25">
      <c r="B46" s="7"/>
      <c r="D46" s="7" t="s">
        <v>30</v>
      </c>
      <c r="E46" s="8">
        <v>4</v>
      </c>
      <c r="F46" s="6" t="s">
        <v>24</v>
      </c>
      <c r="G46" s="6" t="s">
        <v>24</v>
      </c>
      <c r="H46" s="108">
        <v>10000</v>
      </c>
      <c r="I46" s="108">
        <v>0</v>
      </c>
      <c r="J46" s="108">
        <v>0</v>
      </c>
      <c r="K46" s="109">
        <f t="shared" si="0"/>
        <v>0</v>
      </c>
      <c r="M46" s="112">
        <v>6</v>
      </c>
      <c r="N46" s="6">
        <f t="shared" si="3"/>
        <v>72</v>
      </c>
      <c r="O46" s="112">
        <v>60</v>
      </c>
      <c r="P46" s="112">
        <v>14</v>
      </c>
      <c r="Q46" s="6">
        <f t="shared" si="4"/>
        <v>92</v>
      </c>
      <c r="R46" s="113">
        <f>IFERROR(IF(AND((R$219-$Q46)/$N46&gt;0,(R$219-$Q46)/$N46&lt;1),(R$219-$Q46)/$N46,IF((R$219-$Q46)/$N46&gt;0,1,0)),0)</f>
        <v>0</v>
      </c>
      <c r="S46" s="113">
        <f>IFERROR(IF(AND((S$219-$Q46)/$N46&gt;0,(S$219-$Q46)/$N46&lt;1),(S$219-$Q46)/$N46,IF((S$219-$Q46)/$N46&gt;0,1,0)),0)</f>
        <v>0</v>
      </c>
      <c r="T46" s="113">
        <f>IFERROR(IF(AND((T$219-$Q46)/$N46&gt;0,(T$219-$Q46)/$N46&lt;1),(T$219-$Q46)/$N46,IF((T$219-$Q46)/$N46&gt;0,1,0)),0)</f>
        <v>0</v>
      </c>
      <c r="U46" s="113">
        <f>IFERROR(IF(AND((U$219-$Q46)/$N46&gt;0,(U$219-$Q46)/$N46&lt;1),(U$219-$Q46)/$N46,IF((U$219-$Q46)/$N46&gt;0,1,0)),0)</f>
        <v>0</v>
      </c>
      <c r="V46" s="113">
        <f>IFERROR(IF(AND((V$219-$Q46)/$N46&gt;0,(V$219-$Q46)/$N46&lt;1),(V$219-$Q46)/$N46,IF((V$219-$Q46)/$N46&gt;0,1,0)),0)</f>
        <v>0</v>
      </c>
      <c r="W46" s="114">
        <f t="shared" ref="W46:W124" si="21">R46*($H46-$I46)</f>
        <v>0</v>
      </c>
      <c r="X46" s="114">
        <f>S46*($H46-$I46)-W46</f>
        <v>0</v>
      </c>
      <c r="Y46" s="114">
        <f>T46*($H46-$I46)-SUM(W46:X46)</f>
        <v>0</v>
      </c>
      <c r="Z46" s="114">
        <f>U46*($H46-$I46)-SUM(W46:Y46)</f>
        <v>0</v>
      </c>
      <c r="AA46" s="114">
        <f>V46*($H46-$I46)-SUM(W46:Z46)</f>
        <v>0</v>
      </c>
    </row>
    <row r="47" spans="1:28" s="10" customFormat="1" ht="21" customHeight="1" x14ac:dyDescent="0.25">
      <c r="A47" s="115"/>
      <c r="B47" s="123"/>
      <c r="C47" s="6"/>
      <c r="D47" s="124" t="s">
        <v>31</v>
      </c>
      <c r="E47" s="116">
        <v>1</v>
      </c>
      <c r="F47" s="129" t="s">
        <v>24</v>
      </c>
      <c r="G47" s="117" t="s">
        <v>32</v>
      </c>
      <c r="H47" s="118"/>
      <c r="I47" s="118"/>
      <c r="J47" s="118"/>
      <c r="K47" s="119"/>
      <c r="L47" s="117"/>
      <c r="M47" s="120"/>
      <c r="N47" s="117"/>
      <c r="O47" s="120"/>
      <c r="P47" s="120"/>
      <c r="Q47" s="117"/>
      <c r="R47" s="121"/>
      <c r="S47" s="121"/>
      <c r="T47" s="121"/>
      <c r="U47" s="121"/>
      <c r="V47" s="121"/>
      <c r="W47" s="122"/>
      <c r="X47" s="122"/>
      <c r="Y47" s="122"/>
      <c r="Z47" s="122"/>
      <c r="AA47" s="122"/>
      <c r="AB47" s="117"/>
    </row>
    <row r="48" spans="1:28" s="10" customFormat="1" ht="21" customHeight="1" x14ac:dyDescent="0.25">
      <c r="A48" s="115"/>
      <c r="B48" s="123"/>
      <c r="C48" s="6"/>
      <c r="D48" s="124" t="s">
        <v>33</v>
      </c>
      <c r="E48" s="116">
        <v>2</v>
      </c>
      <c r="F48" s="129" t="s">
        <v>24</v>
      </c>
      <c r="G48" s="117" t="s">
        <v>32</v>
      </c>
      <c r="H48" s="118"/>
      <c r="I48" s="118"/>
      <c r="J48" s="118"/>
      <c r="K48" s="119"/>
      <c r="L48" s="117"/>
      <c r="M48" s="120"/>
      <c r="N48" s="117"/>
      <c r="O48" s="120"/>
      <c r="P48" s="120"/>
      <c r="Q48" s="117"/>
      <c r="R48" s="121"/>
      <c r="S48" s="121"/>
      <c r="T48" s="121"/>
      <c r="U48" s="121"/>
      <c r="V48" s="121"/>
      <c r="W48" s="122"/>
      <c r="X48" s="122"/>
      <c r="Y48" s="122"/>
      <c r="Z48" s="122"/>
      <c r="AA48" s="122"/>
      <c r="AB48" s="117"/>
    </row>
    <row r="49" spans="1:28" s="10" customFormat="1" ht="21" customHeight="1" x14ac:dyDescent="0.25">
      <c r="A49" s="115"/>
      <c r="B49" s="123"/>
      <c r="C49" s="6"/>
      <c r="D49" s="124" t="s">
        <v>34</v>
      </c>
      <c r="E49" s="116">
        <v>4</v>
      </c>
      <c r="F49" s="129" t="s">
        <v>24</v>
      </c>
      <c r="G49" s="117" t="s">
        <v>32</v>
      </c>
      <c r="H49" s="118">
        <v>115000</v>
      </c>
      <c r="I49" s="118">
        <v>0</v>
      </c>
      <c r="J49" s="118">
        <v>0</v>
      </c>
      <c r="K49" s="119">
        <f t="shared" ref="K49" si="22">+IF(E49=1,(H49-I49-J49),IF(E49=2,(H49-I49-J49),0))</f>
        <v>0</v>
      </c>
      <c r="L49" s="117"/>
      <c r="M49" s="120">
        <v>16</v>
      </c>
      <c r="N49" s="117">
        <f t="shared" ref="N49" si="23">+M49*12</f>
        <v>192</v>
      </c>
      <c r="O49" s="120">
        <v>60</v>
      </c>
      <c r="P49" s="120">
        <v>14</v>
      </c>
      <c r="Q49" s="117">
        <f t="shared" ref="Q49" si="24">+O49+P49+18</f>
        <v>92</v>
      </c>
      <c r="R49" s="121">
        <f>IFERROR(IF(AND((R$219-$Q49)/$N49&gt;0,(R$219-$Q49)/$N49&lt;1),(R$219-$Q49)/$N49,IF((R$219-$Q49)/$N49&gt;0,1,0)),0)</f>
        <v>0</v>
      </c>
      <c r="S49" s="121">
        <f>IFERROR(IF(AND((S$219-$Q49)/$N49&gt;0,(S$219-$Q49)/$N49&lt;1),(S$219-$Q49)/$N49,IF((S$219-$Q49)/$N49&gt;0,1,0)),0)</f>
        <v>0</v>
      </c>
      <c r="T49" s="121">
        <f>IFERROR(IF(AND((T$219-$Q49)/$N49&gt;0,(T$219-$Q49)/$N49&lt;1),(T$219-$Q49)/$N49,IF((T$219-$Q49)/$N49&gt;0,1,0)),0)</f>
        <v>0</v>
      </c>
      <c r="U49" s="121">
        <f>IFERROR(IF(AND((U$219-$Q49)/$N49&gt;0,(U$219-$Q49)/$N49&lt;1),(U$219-$Q49)/$N49,IF((U$219-$Q49)/$N49&gt;0,1,0)),0)</f>
        <v>0</v>
      </c>
      <c r="V49" s="121">
        <f>IFERROR(IF(AND((V$219-$Q49)/$N49&gt;0,(V$219-$Q49)/$N49&lt;1),(V$219-$Q49)/$N49,IF((V$219-$Q49)/$N49&gt;0,1,0)),0)</f>
        <v>0</v>
      </c>
      <c r="W49" s="122">
        <f t="shared" ref="W49" si="25">R49*($H49-$I49)</f>
        <v>0</v>
      </c>
      <c r="X49" s="122">
        <f>S49*($H49-$I49)-W49</f>
        <v>0</v>
      </c>
      <c r="Y49" s="122">
        <f>T49*($H49-$I49)-SUM(W49:X49)</f>
        <v>0</v>
      </c>
      <c r="Z49" s="122">
        <f>U49*($H49-$I49)-SUM(W49:Y49)</f>
        <v>0</v>
      </c>
      <c r="AA49" s="122">
        <f>V49*($H49-$I49)-SUM(W49:Z49)</f>
        <v>0</v>
      </c>
      <c r="AB49" s="117"/>
    </row>
    <row r="50" spans="1:28" s="10" customFormat="1" ht="21" customHeight="1" x14ac:dyDescent="0.25">
      <c r="A50" s="115"/>
      <c r="B50" s="123"/>
      <c r="C50" s="6"/>
      <c r="D50" s="124" t="s">
        <v>35</v>
      </c>
      <c r="E50" s="116">
        <v>4</v>
      </c>
      <c r="F50" s="129" t="s">
        <v>24</v>
      </c>
      <c r="G50" s="117" t="s">
        <v>24</v>
      </c>
      <c r="H50" s="118"/>
      <c r="I50" s="118"/>
      <c r="J50" s="118"/>
      <c r="K50" s="119"/>
      <c r="L50" s="117"/>
      <c r="M50" s="120"/>
      <c r="N50" s="117"/>
      <c r="O50" s="120"/>
      <c r="P50" s="120"/>
      <c r="Q50" s="117"/>
      <c r="R50" s="121"/>
      <c r="S50" s="121"/>
      <c r="T50" s="121"/>
      <c r="U50" s="121"/>
      <c r="V50" s="121"/>
      <c r="W50" s="122"/>
      <c r="X50" s="122"/>
      <c r="Y50" s="122"/>
      <c r="Z50" s="122"/>
      <c r="AA50" s="122"/>
      <c r="AB50" s="117"/>
    </row>
    <row r="51" spans="1:28" ht="21" customHeight="1" x14ac:dyDescent="0.25">
      <c r="B51" s="7"/>
      <c r="D51" s="7" t="s">
        <v>36</v>
      </c>
      <c r="E51" s="8">
        <v>1</v>
      </c>
      <c r="F51" s="6" t="s">
        <v>24</v>
      </c>
      <c r="G51" s="6" t="s">
        <v>32</v>
      </c>
      <c r="H51" s="108">
        <v>1150</v>
      </c>
      <c r="I51" s="108">
        <v>0</v>
      </c>
      <c r="J51" s="108">
        <v>1150</v>
      </c>
      <c r="K51" s="109">
        <f t="shared" si="0"/>
        <v>0</v>
      </c>
      <c r="M51" s="110" t="s">
        <v>305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2">
        <v>350</v>
      </c>
      <c r="X51" s="112">
        <v>600</v>
      </c>
      <c r="Y51" s="112">
        <v>200</v>
      </c>
      <c r="Z51" s="112">
        <v>0</v>
      </c>
      <c r="AA51" s="112">
        <v>0</v>
      </c>
    </row>
    <row r="52" spans="1:28" ht="21" customHeight="1" x14ac:dyDescent="0.25">
      <c r="B52" s="7"/>
      <c r="D52" s="7" t="s">
        <v>37</v>
      </c>
      <c r="E52" s="8">
        <v>1</v>
      </c>
      <c r="F52" s="6" t="s">
        <v>24</v>
      </c>
      <c r="G52" s="6" t="s">
        <v>32</v>
      </c>
      <c r="H52" s="108">
        <v>1150</v>
      </c>
      <c r="I52" s="108">
        <v>0</v>
      </c>
      <c r="J52" s="108">
        <v>1150</v>
      </c>
      <c r="K52" s="109">
        <f t="shared" si="0"/>
        <v>0</v>
      </c>
      <c r="M52" s="110" t="s">
        <v>305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2">
        <v>800</v>
      </c>
      <c r="X52" s="112">
        <v>350</v>
      </c>
      <c r="Y52" s="112">
        <v>0</v>
      </c>
      <c r="Z52" s="112">
        <v>0</v>
      </c>
      <c r="AA52" s="112">
        <v>0</v>
      </c>
    </row>
    <row r="53" spans="1:28" ht="21" customHeight="1" x14ac:dyDescent="0.25">
      <c r="B53" s="7"/>
      <c r="D53" s="7" t="s">
        <v>38</v>
      </c>
      <c r="E53" s="8">
        <v>1</v>
      </c>
      <c r="F53" s="6" t="s">
        <v>24</v>
      </c>
      <c r="G53" s="6" t="s">
        <v>32</v>
      </c>
      <c r="H53" s="108">
        <v>1500</v>
      </c>
      <c r="I53" s="108">
        <v>0</v>
      </c>
      <c r="J53" s="108">
        <v>1500</v>
      </c>
      <c r="K53" s="109">
        <f t="shared" si="0"/>
        <v>0</v>
      </c>
      <c r="M53" s="110" t="s">
        <v>305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2">
        <v>1200</v>
      </c>
      <c r="X53" s="112">
        <v>300</v>
      </c>
      <c r="Y53" s="112">
        <v>0</v>
      </c>
      <c r="Z53" s="112">
        <v>0</v>
      </c>
      <c r="AA53" s="112">
        <v>0</v>
      </c>
    </row>
    <row r="54" spans="1:28" ht="21" customHeight="1" x14ac:dyDescent="0.25">
      <c r="B54" s="7"/>
      <c r="D54" s="7" t="s">
        <v>39</v>
      </c>
      <c r="E54" s="8">
        <v>1</v>
      </c>
      <c r="F54" s="6" t="s">
        <v>24</v>
      </c>
      <c r="G54" s="6" t="s">
        <v>32</v>
      </c>
      <c r="H54" s="108">
        <v>1500</v>
      </c>
      <c r="I54" s="108">
        <v>1500</v>
      </c>
      <c r="J54" s="108">
        <v>0</v>
      </c>
      <c r="K54" s="109">
        <f t="shared" si="0"/>
        <v>0</v>
      </c>
      <c r="M54" s="110" t="s">
        <v>305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2">
        <v>0</v>
      </c>
      <c r="X54" s="112">
        <v>0</v>
      </c>
      <c r="Y54" s="112">
        <v>0</v>
      </c>
      <c r="Z54" s="112">
        <v>0</v>
      </c>
      <c r="AA54" s="112">
        <v>0</v>
      </c>
    </row>
    <row r="55" spans="1:28" ht="21" customHeight="1" x14ac:dyDescent="0.25">
      <c r="B55" s="7"/>
      <c r="D55" s="7" t="s">
        <v>524</v>
      </c>
      <c r="E55" s="8">
        <v>2</v>
      </c>
      <c r="F55" s="6" t="s">
        <v>24</v>
      </c>
      <c r="G55" s="6" t="s">
        <v>32</v>
      </c>
      <c r="H55" s="108">
        <v>19950</v>
      </c>
      <c r="I55" s="108">
        <v>0</v>
      </c>
      <c r="J55" s="108">
        <v>0</v>
      </c>
      <c r="K55" s="109">
        <f t="shared" si="0"/>
        <v>19950</v>
      </c>
      <c r="M55" s="112">
        <v>4</v>
      </c>
      <c r="N55" s="6">
        <f t="shared" ref="N55" si="26">+M55*12</f>
        <v>48</v>
      </c>
      <c r="O55" s="112">
        <v>48</v>
      </c>
      <c r="P55" s="112">
        <v>16</v>
      </c>
      <c r="Q55" s="6">
        <f t="shared" ref="Q55" si="27">+O55+P55+18</f>
        <v>82</v>
      </c>
      <c r="R55" s="113">
        <f>IFERROR(IF(AND((R$219-$Q55)/$N55&gt;0,(R$219-$Q55)/$N55&lt;1),(R$219-$Q55)/$N55,IF((R$219-$Q55)/$N55&gt;0,1,0)),0)</f>
        <v>0</v>
      </c>
      <c r="S55" s="113">
        <f>IFERROR(IF(AND((S$219-$Q55)/$N55&gt;0,(S$219-$Q55)/$N55&lt;1),(S$219-$Q55)/$N55,IF((S$219-$Q55)/$N55&gt;0,1,0)),0)</f>
        <v>0</v>
      </c>
      <c r="T55" s="113">
        <f>IFERROR(IF(AND((T$219-$Q55)/$N55&gt;0,(T$219-$Q55)/$N55&lt;1),(T$219-$Q55)/$N55,IF((T$219-$Q55)/$N55&gt;0,1,0)),0)</f>
        <v>0</v>
      </c>
      <c r="U55" s="113">
        <f>IFERROR(IF(AND((U$219-$Q55)/$N55&gt;0,(U$219-$Q55)/$N55&lt;1),(U$219-$Q55)/$N55,IF((U$219-$Q55)/$N55&gt;0,1,0)),0)</f>
        <v>0</v>
      </c>
      <c r="V55" s="113">
        <f>IFERROR(IF(AND((V$219-$Q55)/$N55&gt;0,(V$219-$Q55)/$N55&lt;1),(V$219-$Q55)/$N55,IF((V$219-$Q55)/$N55&gt;0,1,0)),0)</f>
        <v>0</v>
      </c>
      <c r="W55" s="114">
        <f t="shared" ref="W55" si="28">R55*($H55-$I55)</f>
        <v>0</v>
      </c>
      <c r="X55" s="114">
        <f t="shared" ref="X55" si="29">S55*($H55-$I55)-W55</f>
        <v>0</v>
      </c>
      <c r="Y55" s="114">
        <f t="shared" ref="Y55" si="30">T55*($H55-$I55)-SUM(W55:X55)</f>
        <v>0</v>
      </c>
      <c r="Z55" s="114">
        <f t="shared" ref="Z55" si="31">U55*($H55-$I55)-SUM(W55:Y55)</f>
        <v>0</v>
      </c>
      <c r="AA55" s="114">
        <f t="shared" ref="AA55" si="32">V55*($H55-$I55)-SUM(W55:Z55)</f>
        <v>0</v>
      </c>
    </row>
    <row r="56" spans="1:28" s="125" customFormat="1" ht="21" customHeight="1" x14ac:dyDescent="0.25">
      <c r="A56" s="126" t="s">
        <v>487</v>
      </c>
      <c r="B56" s="123"/>
      <c r="C56" s="6"/>
      <c r="D56" s="7" t="s">
        <v>40</v>
      </c>
      <c r="E56" s="8">
        <v>1</v>
      </c>
      <c r="F56" s="6" t="s">
        <v>41</v>
      </c>
      <c r="G56" s="6" t="s">
        <v>9</v>
      </c>
      <c r="H56" s="108">
        <v>35700</v>
      </c>
      <c r="I56" s="108">
        <v>0</v>
      </c>
      <c r="J56" s="108">
        <f t="shared" ref="J56:J81" si="33">+H56-I56</f>
        <v>35700</v>
      </c>
      <c r="K56" s="109">
        <f t="shared" si="0"/>
        <v>0</v>
      </c>
      <c r="L56" s="131"/>
      <c r="M56" s="110" t="s">
        <v>305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08">
        <v>2200</v>
      </c>
      <c r="X56" s="108">
        <v>17000</v>
      </c>
      <c r="Y56" s="108">
        <v>16500</v>
      </c>
      <c r="Z56" s="108">
        <v>0</v>
      </c>
      <c r="AA56" s="108">
        <v>0</v>
      </c>
      <c r="AB56" s="131"/>
    </row>
    <row r="57" spans="1:28" s="138" customFormat="1" ht="21" customHeight="1" x14ac:dyDescent="0.25">
      <c r="A57" s="134">
        <v>14289</v>
      </c>
      <c r="B57" s="123"/>
      <c r="C57" s="6"/>
      <c r="D57" s="132" t="s">
        <v>42</v>
      </c>
      <c r="E57" s="133">
        <v>1</v>
      </c>
      <c r="F57" s="133" t="s">
        <v>41</v>
      </c>
      <c r="G57" s="133" t="s">
        <v>9</v>
      </c>
      <c r="H57" s="134">
        <v>8600</v>
      </c>
      <c r="I57" s="134">
        <v>8600</v>
      </c>
      <c r="J57" s="134">
        <v>0</v>
      </c>
      <c r="K57" s="134">
        <f t="shared" si="0"/>
        <v>0</v>
      </c>
      <c r="L57" s="135"/>
      <c r="M57" s="133"/>
      <c r="N57" s="133"/>
      <c r="O57" s="133"/>
      <c r="P57" s="133"/>
      <c r="Q57" s="133"/>
      <c r="R57" s="133"/>
      <c r="S57" s="136"/>
      <c r="T57" s="136"/>
      <c r="U57" s="136"/>
      <c r="V57" s="136"/>
      <c r="W57" s="137"/>
      <c r="X57" s="137"/>
      <c r="Y57" s="137"/>
      <c r="Z57" s="137"/>
      <c r="AA57" s="137"/>
      <c r="AB57" s="135"/>
    </row>
    <row r="58" spans="1:28" ht="21" customHeight="1" x14ac:dyDescent="0.25">
      <c r="B58" s="125"/>
      <c r="D58" s="7" t="s">
        <v>43</v>
      </c>
      <c r="E58" s="8">
        <v>1</v>
      </c>
      <c r="F58" s="6" t="s">
        <v>41</v>
      </c>
      <c r="G58" s="6" t="s">
        <v>9</v>
      </c>
      <c r="H58" s="108">
        <v>7400</v>
      </c>
      <c r="I58" s="108">
        <v>0</v>
      </c>
      <c r="J58" s="108">
        <v>0</v>
      </c>
      <c r="K58" s="109">
        <f t="shared" si="0"/>
        <v>7400</v>
      </c>
      <c r="M58" s="112">
        <v>1</v>
      </c>
      <c r="N58" s="6">
        <f t="shared" ref="N58:N60" si="34">+M58*12</f>
        <v>12</v>
      </c>
      <c r="O58" s="112">
        <v>-6</v>
      </c>
      <c r="P58" s="112">
        <v>0</v>
      </c>
      <c r="Q58" s="6">
        <f>+O58+P58+36</f>
        <v>30</v>
      </c>
      <c r="R58" s="113">
        <f t="shared" ref="R58:V61" si="35">IFERROR(IF(AND((R$219-$Q58)/$N58&gt;0,(R$219-$Q58)/$N58&lt;1),(R$219-$Q58)/$N58,IF((R$219-$Q58)/$N58&gt;0,1,0)),0)</f>
        <v>0</v>
      </c>
      <c r="S58" s="113">
        <f t="shared" si="35"/>
        <v>0</v>
      </c>
      <c r="T58" s="113">
        <f t="shared" si="35"/>
        <v>0</v>
      </c>
      <c r="U58" s="113">
        <f t="shared" si="35"/>
        <v>1</v>
      </c>
      <c r="V58" s="113">
        <f t="shared" si="35"/>
        <v>1</v>
      </c>
      <c r="W58" s="114">
        <f t="shared" ref="W58:W60" si="36">R58*($H58-$I58)</f>
        <v>0</v>
      </c>
      <c r="X58" s="114">
        <f t="shared" ref="X58:X60" si="37">S58*($H58-$I58)-W58</f>
        <v>0</v>
      </c>
      <c r="Y58" s="114">
        <f t="shared" ref="Y58" si="38">T58*($H58-$I58)-SUM(W58:X58)</f>
        <v>0</v>
      </c>
      <c r="Z58" s="114">
        <f t="shared" ref="Z58" si="39">U58*($H58-$I58)-SUM(W58:Y58)</f>
        <v>7400</v>
      </c>
      <c r="AA58" s="114">
        <f t="shared" ref="AA58:AA60" si="40">V58*($H58-$I58)-SUM(W58:Z58)</f>
        <v>0</v>
      </c>
    </row>
    <row r="59" spans="1:28" ht="21" customHeight="1" x14ac:dyDescent="0.25">
      <c r="B59" s="125"/>
      <c r="D59" s="7" t="s">
        <v>44</v>
      </c>
      <c r="E59" s="8">
        <v>3</v>
      </c>
      <c r="F59" s="6" t="s">
        <v>41</v>
      </c>
      <c r="G59" s="6" t="s">
        <v>9</v>
      </c>
      <c r="H59" s="108">
        <v>24000</v>
      </c>
      <c r="I59" s="108">
        <v>0</v>
      </c>
      <c r="J59" s="108">
        <v>0</v>
      </c>
      <c r="K59" s="109">
        <f t="shared" si="0"/>
        <v>0</v>
      </c>
      <c r="M59" s="112">
        <v>20</v>
      </c>
      <c r="N59" s="6">
        <f t="shared" si="34"/>
        <v>240</v>
      </c>
      <c r="O59" s="112">
        <v>48</v>
      </c>
      <c r="P59" s="112">
        <v>12</v>
      </c>
      <c r="Q59" s="6">
        <f>+O59+P59+24</f>
        <v>84</v>
      </c>
      <c r="R59" s="113">
        <f t="shared" si="35"/>
        <v>0</v>
      </c>
      <c r="S59" s="113">
        <f t="shared" si="35"/>
        <v>0</v>
      </c>
      <c r="T59" s="113">
        <f t="shared" si="35"/>
        <v>0</v>
      </c>
      <c r="U59" s="113">
        <f t="shared" si="35"/>
        <v>0</v>
      </c>
      <c r="V59" s="113">
        <f t="shared" si="35"/>
        <v>0</v>
      </c>
      <c r="W59" s="114">
        <f t="shared" si="36"/>
        <v>0</v>
      </c>
      <c r="X59" s="114">
        <f t="shared" si="37"/>
        <v>0</v>
      </c>
      <c r="Y59" s="114">
        <f t="shared" ref="Y59:Y60" si="41">T59*($H59-$I59)-SUM(W59:X59)</f>
        <v>0</v>
      </c>
      <c r="Z59" s="114">
        <f t="shared" ref="Z59:Z60" si="42">U59*($H59-$I59)-SUM(W59:Y59)</f>
        <v>0</v>
      </c>
      <c r="AA59" s="114">
        <f t="shared" si="40"/>
        <v>0</v>
      </c>
    </row>
    <row r="60" spans="1:28" ht="21" customHeight="1" x14ac:dyDescent="0.25">
      <c r="B60" s="125"/>
      <c r="D60" s="7" t="s">
        <v>45</v>
      </c>
      <c r="E60" s="8">
        <v>3</v>
      </c>
      <c r="F60" s="6" t="s">
        <v>41</v>
      </c>
      <c r="G60" s="6" t="s">
        <v>9</v>
      </c>
      <c r="H60" s="108">
        <v>2000</v>
      </c>
      <c r="I60" s="108">
        <v>0</v>
      </c>
      <c r="J60" s="108">
        <v>0</v>
      </c>
      <c r="K60" s="109">
        <f t="shared" si="0"/>
        <v>0</v>
      </c>
      <c r="M60" s="112">
        <v>0.5</v>
      </c>
      <c r="N60" s="6">
        <f t="shared" si="34"/>
        <v>6</v>
      </c>
      <c r="O60" s="112">
        <v>6</v>
      </c>
      <c r="P60" s="112">
        <v>18</v>
      </c>
      <c r="Q60" s="6">
        <f>+O60+P60+18</f>
        <v>42</v>
      </c>
      <c r="R60" s="113">
        <f t="shared" si="35"/>
        <v>0</v>
      </c>
      <c r="S60" s="113">
        <f t="shared" si="35"/>
        <v>0</v>
      </c>
      <c r="T60" s="113">
        <f t="shared" si="35"/>
        <v>0</v>
      </c>
      <c r="U60" s="113">
        <f t="shared" si="35"/>
        <v>0</v>
      </c>
      <c r="V60" s="113">
        <f t="shared" si="35"/>
        <v>1</v>
      </c>
      <c r="W60" s="114">
        <f t="shared" si="36"/>
        <v>0</v>
      </c>
      <c r="X60" s="114">
        <f t="shared" si="37"/>
        <v>0</v>
      </c>
      <c r="Y60" s="114">
        <f t="shared" si="41"/>
        <v>0</v>
      </c>
      <c r="Z60" s="114">
        <f t="shared" si="42"/>
        <v>0</v>
      </c>
      <c r="AA60" s="114">
        <f t="shared" si="40"/>
        <v>2000</v>
      </c>
    </row>
    <row r="61" spans="1:28" ht="21" customHeight="1" x14ac:dyDescent="0.25">
      <c r="A61" s="126"/>
      <c r="B61" s="7"/>
      <c r="D61" s="7" t="s">
        <v>46</v>
      </c>
      <c r="E61" s="8">
        <v>4</v>
      </c>
      <c r="F61" s="6" t="s">
        <v>41</v>
      </c>
      <c r="G61" s="6" t="s">
        <v>9</v>
      </c>
      <c r="H61" s="108">
        <v>5000</v>
      </c>
      <c r="I61" s="108">
        <v>0</v>
      </c>
      <c r="J61" s="108">
        <v>0</v>
      </c>
      <c r="K61" s="109">
        <f t="shared" si="0"/>
        <v>0</v>
      </c>
      <c r="M61" s="112">
        <v>2</v>
      </c>
      <c r="N61" s="6">
        <f t="shared" si="3"/>
        <v>24</v>
      </c>
      <c r="O61" s="112">
        <v>60</v>
      </c>
      <c r="P61" s="112">
        <v>16</v>
      </c>
      <c r="Q61" s="6">
        <f t="shared" ref="Q61" si="43">+O61+P61+18</f>
        <v>94</v>
      </c>
      <c r="R61" s="113">
        <f t="shared" si="35"/>
        <v>0</v>
      </c>
      <c r="S61" s="113">
        <f t="shared" si="35"/>
        <v>0</v>
      </c>
      <c r="T61" s="113">
        <f t="shared" si="35"/>
        <v>0</v>
      </c>
      <c r="U61" s="113">
        <f t="shared" si="35"/>
        <v>0</v>
      </c>
      <c r="V61" s="113">
        <f t="shared" si="35"/>
        <v>0</v>
      </c>
      <c r="W61" s="114">
        <f t="shared" si="21"/>
        <v>0</v>
      </c>
      <c r="X61" s="114">
        <f>S61*($H61-$I61)-W61</f>
        <v>0</v>
      </c>
      <c r="Y61" s="114">
        <f>T61*($H61-$I61)-SUM(W61:X61)</f>
        <v>0</v>
      </c>
      <c r="Z61" s="114">
        <f>U61*($H61-$I61)-SUM(W61:Y61)</f>
        <v>0</v>
      </c>
      <c r="AA61" s="114">
        <f>V61*($H61-$I61)-SUM(W61:Z61)</f>
        <v>0</v>
      </c>
    </row>
    <row r="62" spans="1:28" s="10" customFormat="1" ht="21" customHeight="1" x14ac:dyDescent="0.25">
      <c r="A62" s="115"/>
      <c r="B62" s="123"/>
      <c r="C62" s="6"/>
      <c r="D62" s="124" t="s">
        <v>47</v>
      </c>
      <c r="E62" s="116">
        <v>1</v>
      </c>
      <c r="F62" s="129" t="s">
        <v>41</v>
      </c>
      <c r="G62" s="117" t="s">
        <v>9</v>
      </c>
      <c r="H62" s="118"/>
      <c r="I62" s="118"/>
      <c r="J62" s="118"/>
      <c r="K62" s="119"/>
      <c r="L62" s="117"/>
      <c r="M62" s="120"/>
      <c r="N62" s="117"/>
      <c r="O62" s="120"/>
      <c r="P62" s="120"/>
      <c r="Q62" s="117"/>
      <c r="R62" s="121"/>
      <c r="S62" s="121"/>
      <c r="T62" s="121"/>
      <c r="U62" s="121"/>
      <c r="V62" s="121"/>
      <c r="W62" s="122"/>
      <c r="X62" s="122"/>
      <c r="Y62" s="122"/>
      <c r="Z62" s="122"/>
      <c r="AA62" s="122"/>
      <c r="AB62" s="117"/>
    </row>
    <row r="63" spans="1:28" s="125" customFormat="1" ht="21" customHeight="1" x14ac:dyDescent="0.25">
      <c r="A63" s="11"/>
      <c r="B63" s="7"/>
      <c r="C63" s="6"/>
      <c r="D63" s="7" t="s">
        <v>48</v>
      </c>
      <c r="E63" s="8">
        <v>4</v>
      </c>
      <c r="F63" s="6" t="s">
        <v>41</v>
      </c>
      <c r="G63" s="6" t="s">
        <v>49</v>
      </c>
      <c r="H63" s="108">
        <f>140000-SUM(H27:H28,H56:H61,H67:H70)</f>
        <v>30310</v>
      </c>
      <c r="I63" s="108">
        <v>0</v>
      </c>
      <c r="J63" s="108">
        <v>0</v>
      </c>
      <c r="K63" s="109">
        <f t="shared" si="0"/>
        <v>0</v>
      </c>
      <c r="L63" s="131"/>
      <c r="M63" s="112">
        <v>20</v>
      </c>
      <c r="N63" s="6">
        <f t="shared" ref="N63" si="44">+M63*12</f>
        <v>240</v>
      </c>
      <c r="O63" s="112">
        <v>60</v>
      </c>
      <c r="P63" s="112">
        <v>14</v>
      </c>
      <c r="Q63" s="6">
        <f t="shared" ref="Q63" si="45">+O63+P63+18</f>
        <v>92</v>
      </c>
      <c r="R63" s="113">
        <f>IFERROR(IF(AND((R$219-$Q63)/$N63&gt;0,(R$219-$Q63)/$N63&lt;1),(R$219-$Q63)/$N63,IF((R$219-$Q63)/$N63&gt;0,1,0)),0)</f>
        <v>0</v>
      </c>
      <c r="S63" s="113">
        <f>IFERROR(IF(AND((S$219-$Q63)/$N63&gt;0,(S$219-$Q63)/$N63&lt;1),(S$219-$Q63)/$N63,IF((S$219-$Q63)/$N63&gt;0,1,0)),0)</f>
        <v>0</v>
      </c>
      <c r="T63" s="113">
        <f>IFERROR(IF(AND((T$219-$Q63)/$N63&gt;0,(T$219-$Q63)/$N63&lt;1),(T$219-$Q63)/$N63,IF((T$219-$Q63)/$N63&gt;0,1,0)),0)</f>
        <v>0</v>
      </c>
      <c r="U63" s="113">
        <f>IFERROR(IF(AND((U$219-$Q63)/$N63&gt;0,(U$219-$Q63)/$N63&lt;1),(U$219-$Q63)/$N63,IF((U$219-$Q63)/$N63&gt;0,1,0)),0)</f>
        <v>0</v>
      </c>
      <c r="V63" s="113">
        <f>IFERROR(IF(AND((V$219-$Q63)/$N63&gt;0,(V$219-$Q63)/$N63&lt;1),(V$219-$Q63)/$N63,IF((V$219-$Q63)/$N63&gt;0,1,0)),0)</f>
        <v>0</v>
      </c>
      <c r="W63" s="114">
        <f t="shared" si="21"/>
        <v>0</v>
      </c>
      <c r="X63" s="114">
        <f>S63*($H63-$I63)-W63</f>
        <v>0</v>
      </c>
      <c r="Y63" s="114">
        <f>T63*($H63-$I63)-SUM(W63:X63)</f>
        <v>0</v>
      </c>
      <c r="Z63" s="114">
        <f>U63*($H63-$I63)-SUM(W63:Y63)</f>
        <v>0</v>
      </c>
      <c r="AA63" s="114">
        <f>V63*($H63-$I63)-SUM(W63:Z63)</f>
        <v>0</v>
      </c>
      <c r="AB63" s="131"/>
    </row>
    <row r="64" spans="1:28" s="10" customFormat="1" ht="21" customHeight="1" x14ac:dyDescent="0.25">
      <c r="A64" s="115"/>
      <c r="B64" s="123"/>
      <c r="C64" s="6"/>
      <c r="D64" s="124" t="s">
        <v>50</v>
      </c>
      <c r="E64" s="116">
        <v>1</v>
      </c>
      <c r="F64" s="129" t="s">
        <v>41</v>
      </c>
      <c r="G64" s="117" t="s">
        <v>49</v>
      </c>
      <c r="H64" s="118"/>
      <c r="I64" s="118"/>
      <c r="J64" s="118"/>
      <c r="K64" s="119"/>
      <c r="L64" s="117"/>
      <c r="M64" s="120"/>
      <c r="N64" s="117"/>
      <c r="O64" s="120"/>
      <c r="P64" s="120"/>
      <c r="Q64" s="117"/>
      <c r="R64" s="121"/>
      <c r="S64" s="121"/>
      <c r="T64" s="121"/>
      <c r="U64" s="121"/>
      <c r="V64" s="121"/>
      <c r="W64" s="122"/>
      <c r="X64" s="122"/>
      <c r="Y64" s="122"/>
      <c r="Z64" s="122"/>
      <c r="AA64" s="122"/>
      <c r="AB64" s="117"/>
    </row>
    <row r="65" spans="1:28" s="10" customFormat="1" ht="21" customHeight="1" x14ac:dyDescent="0.25">
      <c r="A65" s="115"/>
      <c r="B65" s="123"/>
      <c r="C65" s="6"/>
      <c r="D65" s="124" t="s">
        <v>51</v>
      </c>
      <c r="E65" s="116">
        <v>1</v>
      </c>
      <c r="F65" s="129" t="s">
        <v>41</v>
      </c>
      <c r="G65" s="117" t="s">
        <v>49</v>
      </c>
      <c r="H65" s="118"/>
      <c r="I65" s="118"/>
      <c r="J65" s="118"/>
      <c r="K65" s="119"/>
      <c r="L65" s="117"/>
      <c r="M65" s="120"/>
      <c r="N65" s="117"/>
      <c r="O65" s="120"/>
      <c r="P65" s="120"/>
      <c r="Q65" s="117"/>
      <c r="R65" s="121"/>
      <c r="S65" s="121"/>
      <c r="T65" s="121"/>
      <c r="U65" s="121"/>
      <c r="V65" s="121"/>
      <c r="W65" s="122"/>
      <c r="X65" s="122"/>
      <c r="Y65" s="122"/>
      <c r="Z65" s="122"/>
      <c r="AA65" s="122"/>
      <c r="AB65" s="117"/>
    </row>
    <row r="66" spans="1:28" s="10" customFormat="1" ht="21" customHeight="1" x14ac:dyDescent="0.25">
      <c r="A66" s="115"/>
      <c r="B66" s="123"/>
      <c r="C66" s="6"/>
      <c r="D66" s="124" t="s">
        <v>52</v>
      </c>
      <c r="E66" s="116">
        <v>1</v>
      </c>
      <c r="F66" s="129" t="s">
        <v>41</v>
      </c>
      <c r="G66" s="117" t="s">
        <v>49</v>
      </c>
      <c r="H66" s="118"/>
      <c r="I66" s="118"/>
      <c r="J66" s="118"/>
      <c r="K66" s="119"/>
      <c r="L66" s="117"/>
      <c r="M66" s="120"/>
      <c r="N66" s="117"/>
      <c r="O66" s="120"/>
      <c r="P66" s="120"/>
      <c r="Q66" s="117"/>
      <c r="R66" s="121"/>
      <c r="S66" s="121"/>
      <c r="T66" s="121"/>
      <c r="U66" s="121"/>
      <c r="V66" s="121"/>
      <c r="W66" s="122"/>
      <c r="X66" s="122"/>
      <c r="Y66" s="122"/>
      <c r="Z66" s="122"/>
      <c r="AA66" s="122"/>
      <c r="AB66" s="117"/>
    </row>
    <row r="67" spans="1:28" s="138" customFormat="1" ht="21" customHeight="1" x14ac:dyDescent="0.25">
      <c r="A67" s="11"/>
      <c r="B67" s="7"/>
      <c r="C67" s="6"/>
      <c r="D67" s="132" t="s">
        <v>53</v>
      </c>
      <c r="E67" s="133">
        <v>1</v>
      </c>
      <c r="F67" s="133" t="s">
        <v>41</v>
      </c>
      <c r="G67" s="133" t="s">
        <v>49</v>
      </c>
      <c r="H67" s="134">
        <v>1290</v>
      </c>
      <c r="I67" s="134">
        <v>1290</v>
      </c>
      <c r="J67" s="134">
        <f t="shared" si="33"/>
        <v>0</v>
      </c>
      <c r="K67" s="134">
        <f t="shared" si="0"/>
        <v>0</v>
      </c>
      <c r="L67" s="135"/>
      <c r="M67" s="133"/>
      <c r="N67" s="133"/>
      <c r="O67" s="133"/>
      <c r="P67" s="133"/>
      <c r="Q67" s="133"/>
      <c r="R67" s="133"/>
      <c r="S67" s="133"/>
      <c r="T67" s="136"/>
      <c r="U67" s="136"/>
      <c r="V67" s="136"/>
      <c r="W67" s="137"/>
      <c r="X67" s="137"/>
      <c r="Y67" s="137"/>
      <c r="Z67" s="137"/>
      <c r="AA67" s="137"/>
      <c r="AB67" s="135"/>
    </row>
    <row r="68" spans="1:28" s="125" customFormat="1" ht="21" customHeight="1" x14ac:dyDescent="0.25">
      <c r="A68" s="11"/>
      <c r="B68" s="7"/>
      <c r="C68" s="6"/>
      <c r="D68" s="7" t="s">
        <v>54</v>
      </c>
      <c r="E68" s="8">
        <v>1</v>
      </c>
      <c r="F68" s="6" t="s">
        <v>41</v>
      </c>
      <c r="G68" s="6" t="s">
        <v>49</v>
      </c>
      <c r="H68" s="108">
        <v>12000</v>
      </c>
      <c r="I68" s="108">
        <v>0</v>
      </c>
      <c r="J68" s="108">
        <f t="shared" si="33"/>
        <v>12000</v>
      </c>
      <c r="K68" s="109">
        <f t="shared" si="0"/>
        <v>0</v>
      </c>
      <c r="L68" s="131"/>
      <c r="M68" s="112">
        <v>1</v>
      </c>
      <c r="N68" s="6">
        <f t="shared" si="3"/>
        <v>12</v>
      </c>
      <c r="O68" s="112">
        <v>-6</v>
      </c>
      <c r="P68" s="112">
        <v>0</v>
      </c>
      <c r="Q68" s="6">
        <f>+O68+P68+36</f>
        <v>30</v>
      </c>
      <c r="R68" s="113">
        <f t="shared" ref="R68:V75" si="46">IFERROR(IF(AND((R$219-$Q68)/$N68&gt;0,(R$219-$Q68)/$N68&lt;1),(R$219-$Q68)/$N68,IF((R$219-$Q68)/$N68&gt;0,1,0)),0)</f>
        <v>0</v>
      </c>
      <c r="S68" s="113">
        <f t="shared" si="46"/>
        <v>0</v>
      </c>
      <c r="T68" s="113">
        <f t="shared" si="46"/>
        <v>0</v>
      </c>
      <c r="U68" s="113">
        <f t="shared" si="46"/>
        <v>1</v>
      </c>
      <c r="V68" s="113">
        <f t="shared" si="46"/>
        <v>1</v>
      </c>
      <c r="W68" s="114">
        <f t="shared" si="21"/>
        <v>0</v>
      </c>
      <c r="X68" s="114">
        <f>S68*($H68-$I68)-W68</f>
        <v>0</v>
      </c>
      <c r="Y68" s="114">
        <f>T68*($H68-$I68)-SUM(W68:X68)</f>
        <v>0</v>
      </c>
      <c r="Z68" s="114">
        <f>U68*($H68-$I68)-SUM(W68:Y68)</f>
        <v>12000</v>
      </c>
      <c r="AA68" s="114">
        <f>V68*($H68-$I68)-SUM(W68:Z68)</f>
        <v>0</v>
      </c>
      <c r="AB68" s="131"/>
    </row>
    <row r="69" spans="1:28" s="10" customFormat="1" ht="21" customHeight="1" x14ac:dyDescent="0.25">
      <c r="A69" s="115"/>
      <c r="B69" s="123"/>
      <c r="C69" s="6"/>
      <c r="D69" s="124" t="s">
        <v>55</v>
      </c>
      <c r="E69" s="116">
        <v>3</v>
      </c>
      <c r="F69" s="129" t="s">
        <v>41</v>
      </c>
      <c r="G69" s="117" t="s">
        <v>49</v>
      </c>
      <c r="H69" s="118"/>
      <c r="I69" s="118"/>
      <c r="J69" s="118"/>
      <c r="K69" s="119"/>
      <c r="L69" s="117"/>
      <c r="M69" s="120"/>
      <c r="N69" s="117"/>
      <c r="O69" s="120"/>
      <c r="P69" s="120"/>
      <c r="Q69" s="117"/>
      <c r="R69" s="121"/>
      <c r="S69" s="121"/>
      <c r="T69" s="121"/>
      <c r="U69" s="121"/>
      <c r="V69" s="121"/>
      <c r="W69" s="122"/>
      <c r="X69" s="122"/>
      <c r="Y69" s="122"/>
      <c r="Z69" s="122"/>
      <c r="AA69" s="122"/>
      <c r="AB69" s="117"/>
    </row>
    <row r="70" spans="1:28" s="125" customFormat="1" ht="21" customHeight="1" x14ac:dyDescent="0.25">
      <c r="A70" s="11"/>
      <c r="B70" s="7"/>
      <c r="C70" s="6"/>
      <c r="D70" s="7" t="s">
        <v>56</v>
      </c>
      <c r="E70" s="8">
        <v>2</v>
      </c>
      <c r="F70" s="6" t="s">
        <v>41</v>
      </c>
      <c r="G70" s="6" t="s">
        <v>49</v>
      </c>
      <c r="H70" s="108">
        <v>4000</v>
      </c>
      <c r="I70" s="108">
        <v>0</v>
      </c>
      <c r="J70" s="108">
        <v>0</v>
      </c>
      <c r="K70" s="109">
        <f t="shared" si="0"/>
        <v>4000</v>
      </c>
      <c r="L70" s="131"/>
      <c r="M70" s="112">
        <v>1</v>
      </c>
      <c r="N70" s="6">
        <f t="shared" si="3"/>
        <v>12</v>
      </c>
      <c r="O70" s="112">
        <v>24</v>
      </c>
      <c r="P70" s="112">
        <v>14</v>
      </c>
      <c r="Q70" s="6">
        <f t="shared" ref="Q70:Q124" si="47">+O70+P70+18</f>
        <v>56</v>
      </c>
      <c r="R70" s="113">
        <f t="shared" si="46"/>
        <v>0</v>
      </c>
      <c r="S70" s="113">
        <f t="shared" si="46"/>
        <v>0</v>
      </c>
      <c r="T70" s="113">
        <f t="shared" si="46"/>
        <v>0</v>
      </c>
      <c r="U70" s="113">
        <f t="shared" si="46"/>
        <v>0</v>
      </c>
      <c r="V70" s="113">
        <f t="shared" si="46"/>
        <v>0</v>
      </c>
      <c r="W70" s="114">
        <f t="shared" si="21"/>
        <v>0</v>
      </c>
      <c r="X70" s="114">
        <f>S70*($H70-$I70)-W70</f>
        <v>0</v>
      </c>
      <c r="Y70" s="114">
        <f>T70*($H70-$I70)-SUM(W70:X70)</f>
        <v>0</v>
      </c>
      <c r="Z70" s="114">
        <f>U70*($H70-$I70)-SUM(W70:Y70)</f>
        <v>0</v>
      </c>
      <c r="AA70" s="114">
        <f>V70*($H70-$I70)-SUM(W70:Z70)</f>
        <v>0</v>
      </c>
      <c r="AB70" s="131"/>
    </row>
    <row r="71" spans="1:28" ht="21" customHeight="1" x14ac:dyDescent="0.25">
      <c r="B71" s="7"/>
      <c r="D71" s="7" t="s">
        <v>57</v>
      </c>
      <c r="E71" s="8">
        <v>3</v>
      </c>
      <c r="F71" s="6" t="s">
        <v>41</v>
      </c>
      <c r="G71" s="6" t="s">
        <v>49</v>
      </c>
      <c r="H71" s="108">
        <v>1200</v>
      </c>
      <c r="I71" s="108">
        <v>0</v>
      </c>
      <c r="J71" s="108">
        <v>0</v>
      </c>
      <c r="K71" s="109">
        <f t="shared" si="0"/>
        <v>0</v>
      </c>
      <c r="M71" s="112">
        <v>1</v>
      </c>
      <c r="N71" s="6">
        <f t="shared" si="3"/>
        <v>12</v>
      </c>
      <c r="O71" s="112">
        <v>0</v>
      </c>
      <c r="P71" s="112">
        <v>12</v>
      </c>
      <c r="Q71" s="6">
        <f>+O71+P71+18</f>
        <v>30</v>
      </c>
      <c r="R71" s="113">
        <f t="shared" si="46"/>
        <v>0</v>
      </c>
      <c r="S71" s="113">
        <f t="shared" si="46"/>
        <v>0</v>
      </c>
      <c r="T71" s="113">
        <f t="shared" si="46"/>
        <v>0</v>
      </c>
      <c r="U71" s="113">
        <f t="shared" si="46"/>
        <v>1</v>
      </c>
      <c r="V71" s="113">
        <f t="shared" si="46"/>
        <v>1</v>
      </c>
      <c r="W71" s="114">
        <f t="shared" si="21"/>
        <v>0</v>
      </c>
      <c r="X71" s="114">
        <f t="shared" ref="X71" si="48">S71*($H71-$I71)-W71</f>
        <v>0</v>
      </c>
      <c r="Y71" s="114">
        <f t="shared" ref="Y71" si="49">T71*($H71-$I71)-SUM(W71:X71)</f>
        <v>0</v>
      </c>
      <c r="Z71" s="114">
        <f t="shared" ref="Z71" si="50">U71*($H71-$I71)-SUM(W71:Y71)</f>
        <v>1200</v>
      </c>
      <c r="AA71" s="114">
        <f t="shared" ref="AA71" si="51">V71*($H71-$I71)-SUM(W71:Z71)</f>
        <v>0</v>
      </c>
    </row>
    <row r="72" spans="1:28" s="125" customFormat="1" ht="21" customHeight="1" x14ac:dyDescent="0.25">
      <c r="A72" s="11"/>
      <c r="B72" s="7"/>
      <c r="C72" s="6"/>
      <c r="D72" s="7" t="s">
        <v>58</v>
      </c>
      <c r="E72" s="8">
        <v>2</v>
      </c>
      <c r="F72" s="6" t="s">
        <v>41</v>
      </c>
      <c r="G72" s="6" t="s">
        <v>49</v>
      </c>
      <c r="H72" s="112">
        <v>300</v>
      </c>
      <c r="I72" s="112">
        <v>0</v>
      </c>
      <c r="J72" s="112">
        <v>0</v>
      </c>
      <c r="K72" s="6">
        <f>+IF(E72=1,(H72-I72-J72),IF(E72=2,(H72-I72-J72),0))</f>
        <v>300</v>
      </c>
      <c r="L72" s="6"/>
      <c r="M72" s="112">
        <v>0.5</v>
      </c>
      <c r="N72" s="6">
        <f>+M72*12</f>
        <v>6</v>
      </c>
      <c r="O72" s="112">
        <v>-6</v>
      </c>
      <c r="P72" s="112">
        <v>0</v>
      </c>
      <c r="Q72" s="6">
        <f>+O72+P72+24</f>
        <v>18</v>
      </c>
      <c r="R72" s="113">
        <f t="shared" si="46"/>
        <v>0</v>
      </c>
      <c r="S72" s="113">
        <f t="shared" si="46"/>
        <v>0</v>
      </c>
      <c r="T72" s="113">
        <f t="shared" si="46"/>
        <v>1</v>
      </c>
      <c r="U72" s="113">
        <f t="shared" si="46"/>
        <v>1</v>
      </c>
      <c r="V72" s="113">
        <f t="shared" si="46"/>
        <v>1</v>
      </c>
      <c r="W72" s="114">
        <f>R72*($H72-$I72)</f>
        <v>0</v>
      </c>
      <c r="X72" s="114">
        <f>S72*($H72-$I72)-W72</f>
        <v>0</v>
      </c>
      <c r="Y72" s="114">
        <f>T72*($H72-$I72)-SUM(W72:X72)</f>
        <v>300</v>
      </c>
      <c r="Z72" s="114">
        <f>U72*($H72-$I72)-SUM(W72:Y72)</f>
        <v>0</v>
      </c>
      <c r="AA72" s="114">
        <f>V72*($H72-$I72)-SUM(W72:Z72)</f>
        <v>0</v>
      </c>
      <c r="AB72" s="131"/>
    </row>
    <row r="73" spans="1:28" s="125" customFormat="1" ht="21" customHeight="1" x14ac:dyDescent="0.25">
      <c r="A73" s="11"/>
      <c r="B73" s="7"/>
      <c r="C73" s="6"/>
      <c r="D73" s="7" t="s">
        <v>59</v>
      </c>
      <c r="E73" s="8">
        <v>4</v>
      </c>
      <c r="F73" s="6" t="s">
        <v>41</v>
      </c>
      <c r="G73" s="6" t="s">
        <v>49</v>
      </c>
      <c r="H73" s="108">
        <f>20000-H72-H74</f>
        <v>15250</v>
      </c>
      <c r="I73" s="108">
        <v>0</v>
      </c>
      <c r="J73" s="108">
        <v>0</v>
      </c>
      <c r="K73" s="109">
        <f t="shared" si="0"/>
        <v>0</v>
      </c>
      <c r="L73" s="131"/>
      <c r="M73" s="112">
        <v>1.5</v>
      </c>
      <c r="N73" s="6">
        <f t="shared" si="3"/>
        <v>18</v>
      </c>
      <c r="O73" s="112">
        <v>48</v>
      </c>
      <c r="P73" s="112">
        <v>14</v>
      </c>
      <c r="Q73" s="6">
        <f t="shared" si="47"/>
        <v>80</v>
      </c>
      <c r="R73" s="113">
        <f t="shared" si="46"/>
        <v>0</v>
      </c>
      <c r="S73" s="113">
        <f t="shared" si="46"/>
        <v>0</v>
      </c>
      <c r="T73" s="113">
        <f t="shared" si="46"/>
        <v>0</v>
      </c>
      <c r="U73" s="113">
        <f t="shared" si="46"/>
        <v>0</v>
      </c>
      <c r="V73" s="113">
        <f t="shared" si="46"/>
        <v>0</v>
      </c>
      <c r="W73" s="114">
        <f t="shared" si="21"/>
        <v>0</v>
      </c>
      <c r="X73" s="114">
        <f>S73*($H73-$I73)-W73</f>
        <v>0</v>
      </c>
      <c r="Y73" s="114">
        <f>T73*($H73-$I73)-SUM(W73:X73)</f>
        <v>0</v>
      </c>
      <c r="Z73" s="114">
        <f>U73*($H73-$I73)-SUM(W73:Y73)</f>
        <v>0</v>
      </c>
      <c r="AA73" s="114">
        <f>V73*($H73-$I73)-SUM(W73:Z73)</f>
        <v>0</v>
      </c>
      <c r="AB73" s="131"/>
    </row>
    <row r="74" spans="1:28" s="125" customFormat="1" ht="21" customHeight="1" x14ac:dyDescent="0.25">
      <c r="A74" s="11"/>
      <c r="C74" s="6"/>
      <c r="D74" s="7" t="s">
        <v>525</v>
      </c>
      <c r="E74" s="8">
        <v>2</v>
      </c>
      <c r="F74" s="6" t="s">
        <v>41</v>
      </c>
      <c r="G74" s="6" t="s">
        <v>49</v>
      </c>
      <c r="H74" s="108">
        <v>4450</v>
      </c>
      <c r="I74" s="108">
        <v>0</v>
      </c>
      <c r="J74" s="108">
        <v>0</v>
      </c>
      <c r="K74" s="109">
        <f t="shared" si="0"/>
        <v>4450</v>
      </c>
      <c r="L74" s="131"/>
      <c r="M74" s="112">
        <v>1</v>
      </c>
      <c r="N74" s="6">
        <f t="shared" si="3"/>
        <v>12</v>
      </c>
      <c r="O74" s="112">
        <v>84</v>
      </c>
      <c r="P74" s="112">
        <v>14</v>
      </c>
      <c r="Q74" s="6">
        <f t="shared" si="47"/>
        <v>116</v>
      </c>
      <c r="R74" s="113">
        <f t="shared" si="46"/>
        <v>0</v>
      </c>
      <c r="S74" s="113">
        <f t="shared" si="46"/>
        <v>0</v>
      </c>
      <c r="T74" s="113">
        <f t="shared" si="46"/>
        <v>0</v>
      </c>
      <c r="U74" s="113">
        <f t="shared" si="46"/>
        <v>0</v>
      </c>
      <c r="V74" s="113">
        <f t="shared" si="46"/>
        <v>0</v>
      </c>
      <c r="W74" s="114">
        <f t="shared" si="21"/>
        <v>0</v>
      </c>
      <c r="X74" s="114">
        <f t="shared" ref="X74" si="52">S74*($H74-$I74)-W74</f>
        <v>0</v>
      </c>
      <c r="Y74" s="114">
        <f t="shared" ref="Y74" si="53">T74*($H74-$I74)-SUM(W74:X74)</f>
        <v>0</v>
      </c>
      <c r="Z74" s="114">
        <f t="shared" ref="Z74" si="54">U74*($H74-$I74)-SUM(W74:Y74)</f>
        <v>0</v>
      </c>
      <c r="AA74" s="114">
        <f t="shared" ref="AA74" si="55">V74*($H74-$I74)-SUM(W74:Z74)</f>
        <v>0</v>
      </c>
      <c r="AB74" s="131"/>
    </row>
    <row r="75" spans="1:28" ht="21" customHeight="1" x14ac:dyDescent="0.25">
      <c r="B75" s="7"/>
      <c r="D75" s="7" t="s">
        <v>60</v>
      </c>
      <c r="E75" s="8">
        <v>4</v>
      </c>
      <c r="F75" s="6" t="s">
        <v>41</v>
      </c>
      <c r="G75" s="6" t="s">
        <v>49</v>
      </c>
      <c r="H75" s="108">
        <v>15000</v>
      </c>
      <c r="I75" s="108">
        <v>0</v>
      </c>
      <c r="J75" s="108">
        <v>0</v>
      </c>
      <c r="K75" s="109">
        <f t="shared" si="0"/>
        <v>0</v>
      </c>
      <c r="M75" s="112">
        <v>2</v>
      </c>
      <c r="N75" s="6">
        <f t="shared" si="3"/>
        <v>24</v>
      </c>
      <c r="O75" s="112">
        <v>60</v>
      </c>
      <c r="P75" s="112">
        <v>16</v>
      </c>
      <c r="Q75" s="6">
        <f t="shared" si="47"/>
        <v>94</v>
      </c>
      <c r="R75" s="113">
        <f t="shared" si="46"/>
        <v>0</v>
      </c>
      <c r="S75" s="113">
        <f t="shared" si="46"/>
        <v>0</v>
      </c>
      <c r="T75" s="113">
        <f t="shared" si="46"/>
        <v>0</v>
      </c>
      <c r="U75" s="113">
        <f t="shared" si="46"/>
        <v>0</v>
      </c>
      <c r="V75" s="113">
        <f t="shared" si="46"/>
        <v>0</v>
      </c>
      <c r="W75" s="114">
        <f t="shared" si="21"/>
        <v>0</v>
      </c>
      <c r="X75" s="114">
        <f>S75*($H75-$I75)-W75</f>
        <v>0</v>
      </c>
      <c r="Y75" s="114">
        <f>T75*($H75-$I75)-SUM(W75:X75)</f>
        <v>0</v>
      </c>
      <c r="Z75" s="114">
        <f>U75*($H75-$I75)-SUM(W75:Y75)</f>
        <v>0</v>
      </c>
      <c r="AA75" s="114">
        <f>V75*($H75-$I75)-SUM(W75:Z75)</f>
        <v>0</v>
      </c>
    </row>
    <row r="76" spans="1:28" ht="21" customHeight="1" x14ac:dyDescent="0.25">
      <c r="B76" s="125"/>
      <c r="D76" s="7" t="s">
        <v>61</v>
      </c>
      <c r="E76" s="8">
        <v>1</v>
      </c>
      <c r="F76" s="6" t="s">
        <v>41</v>
      </c>
      <c r="G76" s="6" t="s">
        <v>49</v>
      </c>
      <c r="H76" s="108">
        <v>58000</v>
      </c>
      <c r="I76" s="108">
        <v>0</v>
      </c>
      <c r="J76" s="108">
        <v>58000</v>
      </c>
      <c r="K76" s="109">
        <f t="shared" si="0"/>
        <v>0</v>
      </c>
      <c r="M76" s="110" t="s">
        <v>305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2">
        <v>0</v>
      </c>
      <c r="X76" s="112">
        <v>0</v>
      </c>
      <c r="Y76" s="112">
        <v>0</v>
      </c>
      <c r="Z76" s="112">
        <v>0</v>
      </c>
      <c r="AA76" s="108">
        <v>58000</v>
      </c>
    </row>
    <row r="77" spans="1:28" ht="21" customHeight="1" x14ac:dyDescent="0.25">
      <c r="B77" s="125"/>
      <c r="D77" s="7" t="s">
        <v>62</v>
      </c>
      <c r="E77" s="8">
        <v>1</v>
      </c>
      <c r="F77" s="6" t="s">
        <v>41</v>
      </c>
      <c r="G77" s="6" t="s">
        <v>49</v>
      </c>
      <c r="H77" s="108">
        <v>39500</v>
      </c>
      <c r="I77" s="108">
        <v>0</v>
      </c>
      <c r="J77" s="108">
        <v>0</v>
      </c>
      <c r="K77" s="109">
        <f t="shared" si="0"/>
        <v>39500</v>
      </c>
      <c r="M77" s="112">
        <v>4</v>
      </c>
      <c r="N77" s="6">
        <f t="shared" si="3"/>
        <v>48</v>
      </c>
      <c r="O77" s="112">
        <v>24</v>
      </c>
      <c r="P77" s="112">
        <v>48</v>
      </c>
      <c r="Q77" s="6">
        <f t="shared" si="47"/>
        <v>90</v>
      </c>
      <c r="R77" s="113">
        <f t="shared" ref="R77:V82" si="56">IFERROR(IF(AND((R$219-$Q77)/$N77&gt;0,(R$219-$Q77)/$N77&lt;1),(R$219-$Q77)/$N77,IF((R$219-$Q77)/$N77&gt;0,1,0)),0)</f>
        <v>0</v>
      </c>
      <c r="S77" s="113">
        <f t="shared" si="56"/>
        <v>0</v>
      </c>
      <c r="T77" s="113">
        <f t="shared" si="56"/>
        <v>0</v>
      </c>
      <c r="U77" s="113">
        <f t="shared" si="56"/>
        <v>0</v>
      </c>
      <c r="V77" s="113">
        <f t="shared" si="56"/>
        <v>0</v>
      </c>
      <c r="W77" s="114">
        <f t="shared" si="21"/>
        <v>0</v>
      </c>
      <c r="X77" s="114">
        <f>S77*($H77-$I77)-W77</f>
        <v>0</v>
      </c>
      <c r="Y77" s="114">
        <f>T77*($H77-$I77)-SUM(W77:X77)</f>
        <v>0</v>
      </c>
      <c r="Z77" s="114">
        <f>U77*($H77-$I77)-SUM(W77:Y77)</f>
        <v>0</v>
      </c>
      <c r="AA77" s="114">
        <f>V77*($H77-$I77)-SUM(W77:Z77)</f>
        <v>0</v>
      </c>
    </row>
    <row r="78" spans="1:28" ht="21" customHeight="1" x14ac:dyDescent="0.25">
      <c r="B78" s="125"/>
      <c r="D78" s="7" t="s">
        <v>63</v>
      </c>
      <c r="E78" s="8">
        <v>2</v>
      </c>
      <c r="F78" s="6" t="s">
        <v>41</v>
      </c>
      <c r="G78" s="6" t="s">
        <v>49</v>
      </c>
      <c r="H78" s="108">
        <v>54100</v>
      </c>
      <c r="I78" s="108">
        <v>0</v>
      </c>
      <c r="J78" s="108">
        <v>0</v>
      </c>
      <c r="K78" s="109">
        <f t="shared" si="0"/>
        <v>54100</v>
      </c>
      <c r="M78" s="112">
        <v>4</v>
      </c>
      <c r="N78" s="6">
        <f t="shared" si="3"/>
        <v>48</v>
      </c>
      <c r="O78" s="112">
        <v>60</v>
      </c>
      <c r="P78" s="112">
        <v>48</v>
      </c>
      <c r="Q78" s="6">
        <f t="shared" si="47"/>
        <v>126</v>
      </c>
      <c r="R78" s="113">
        <f t="shared" si="56"/>
        <v>0</v>
      </c>
      <c r="S78" s="113">
        <f t="shared" si="56"/>
        <v>0</v>
      </c>
      <c r="T78" s="113">
        <f t="shared" si="56"/>
        <v>0</v>
      </c>
      <c r="U78" s="113">
        <f t="shared" si="56"/>
        <v>0</v>
      </c>
      <c r="V78" s="113">
        <f t="shared" si="56"/>
        <v>0</v>
      </c>
      <c r="W78" s="114">
        <f t="shared" si="21"/>
        <v>0</v>
      </c>
      <c r="X78" s="114">
        <f t="shared" ref="X78:X79" si="57">S78*($H78-$I78)-W78</f>
        <v>0</v>
      </c>
      <c r="Y78" s="114">
        <f t="shared" ref="Y78:Y79" si="58">T78*($H78-$I78)-SUM(W78:X78)</f>
        <v>0</v>
      </c>
      <c r="Z78" s="114">
        <f t="shared" ref="Z78:Z79" si="59">U78*($H78-$I78)-SUM(W78:Y78)</f>
        <v>0</v>
      </c>
      <c r="AA78" s="114">
        <f t="shared" ref="AA78:AA79" si="60">V78*($H78-$I78)-SUM(W78:Z78)</f>
        <v>0</v>
      </c>
    </row>
    <row r="79" spans="1:28" ht="21" customHeight="1" x14ac:dyDescent="0.25">
      <c r="B79" s="125"/>
      <c r="D79" s="7" t="s">
        <v>64</v>
      </c>
      <c r="E79" s="8">
        <v>2</v>
      </c>
      <c r="F79" s="6" t="s">
        <v>41</v>
      </c>
      <c r="G79" s="6" t="s">
        <v>49</v>
      </c>
      <c r="H79" s="108">
        <v>15000</v>
      </c>
      <c r="I79" s="108">
        <v>0</v>
      </c>
      <c r="J79" s="108">
        <v>0</v>
      </c>
      <c r="K79" s="109">
        <f t="shared" si="0"/>
        <v>15000</v>
      </c>
      <c r="M79" s="112">
        <v>4</v>
      </c>
      <c r="N79" s="6">
        <f t="shared" si="3"/>
        <v>48</v>
      </c>
      <c r="O79" s="112">
        <v>24</v>
      </c>
      <c r="P79" s="112">
        <v>18</v>
      </c>
      <c r="Q79" s="6">
        <f t="shared" si="47"/>
        <v>60</v>
      </c>
      <c r="R79" s="113">
        <f t="shared" si="56"/>
        <v>0</v>
      </c>
      <c r="S79" s="113">
        <f t="shared" si="56"/>
        <v>0</v>
      </c>
      <c r="T79" s="113">
        <f t="shared" si="56"/>
        <v>0</v>
      </c>
      <c r="U79" s="113">
        <f t="shared" si="56"/>
        <v>0</v>
      </c>
      <c r="V79" s="113">
        <f t="shared" si="56"/>
        <v>0</v>
      </c>
      <c r="W79" s="114">
        <f t="shared" si="21"/>
        <v>0</v>
      </c>
      <c r="X79" s="114">
        <f t="shared" si="57"/>
        <v>0</v>
      </c>
      <c r="Y79" s="114">
        <f t="shared" si="58"/>
        <v>0</v>
      </c>
      <c r="Z79" s="114">
        <f t="shared" si="59"/>
        <v>0</v>
      </c>
      <c r="AA79" s="114">
        <f t="shared" si="60"/>
        <v>0</v>
      </c>
    </row>
    <row r="80" spans="1:28" ht="21" customHeight="1" x14ac:dyDescent="0.25">
      <c r="B80" s="125"/>
      <c r="D80" s="7" t="s">
        <v>65</v>
      </c>
      <c r="E80" s="8">
        <v>1</v>
      </c>
      <c r="F80" s="6" t="s">
        <v>41</v>
      </c>
      <c r="G80" s="6" t="s">
        <v>49</v>
      </c>
      <c r="H80" s="108">
        <v>5000</v>
      </c>
      <c r="I80" s="108">
        <v>0</v>
      </c>
      <c r="J80" s="108">
        <f t="shared" si="33"/>
        <v>5000</v>
      </c>
      <c r="K80" s="109">
        <f t="shared" si="0"/>
        <v>0</v>
      </c>
      <c r="M80" s="112">
        <v>0.5</v>
      </c>
      <c r="N80" s="6">
        <f t="shared" si="3"/>
        <v>6</v>
      </c>
      <c r="O80" s="112">
        <v>-18</v>
      </c>
      <c r="P80" s="112">
        <v>0</v>
      </c>
      <c r="Q80" s="6">
        <f>+O80+P80+36</f>
        <v>18</v>
      </c>
      <c r="R80" s="113">
        <f t="shared" si="56"/>
        <v>0</v>
      </c>
      <c r="S80" s="113">
        <f t="shared" si="56"/>
        <v>0</v>
      </c>
      <c r="T80" s="113">
        <f t="shared" si="56"/>
        <v>1</v>
      </c>
      <c r="U80" s="113">
        <f t="shared" si="56"/>
        <v>1</v>
      </c>
      <c r="V80" s="113">
        <f t="shared" si="56"/>
        <v>1</v>
      </c>
      <c r="W80" s="114">
        <f t="shared" si="21"/>
        <v>0</v>
      </c>
      <c r="X80" s="114">
        <f>S80*($H80-$I80)-W80</f>
        <v>0</v>
      </c>
      <c r="Y80" s="114">
        <f>T80*($H80-$I80)-SUM(W80:X80)</f>
        <v>5000</v>
      </c>
      <c r="Z80" s="114">
        <f>U80*($H80-$I80)-SUM(W80:Y80)</f>
        <v>0</v>
      </c>
      <c r="AA80" s="114">
        <f>V80*($H80-$I80)-SUM(W80:Z80)</f>
        <v>0</v>
      </c>
    </row>
    <row r="81" spans="1:28" ht="21" customHeight="1" x14ac:dyDescent="0.25">
      <c r="B81" s="125"/>
      <c r="D81" s="7" t="s">
        <v>66</v>
      </c>
      <c r="E81" s="8">
        <v>1</v>
      </c>
      <c r="F81" s="6" t="s">
        <v>41</v>
      </c>
      <c r="G81" s="6" t="s">
        <v>49</v>
      </c>
      <c r="H81" s="108">
        <v>10700</v>
      </c>
      <c r="I81" s="108">
        <v>0</v>
      </c>
      <c r="J81" s="108">
        <f t="shared" si="33"/>
        <v>10700</v>
      </c>
      <c r="K81" s="109">
        <f t="shared" si="0"/>
        <v>0</v>
      </c>
      <c r="M81" s="112">
        <v>1</v>
      </c>
      <c r="N81" s="6">
        <f t="shared" si="3"/>
        <v>12</v>
      </c>
      <c r="O81" s="112">
        <v>-42</v>
      </c>
      <c r="P81" s="112">
        <v>0</v>
      </c>
      <c r="Q81" s="6">
        <f>+O81+P81+48</f>
        <v>6</v>
      </c>
      <c r="R81" s="113">
        <f t="shared" si="56"/>
        <v>0</v>
      </c>
      <c r="S81" s="113">
        <f t="shared" si="56"/>
        <v>1</v>
      </c>
      <c r="T81" s="113">
        <f t="shared" si="56"/>
        <v>1</v>
      </c>
      <c r="U81" s="113">
        <f t="shared" si="56"/>
        <v>1</v>
      </c>
      <c r="V81" s="113">
        <f t="shared" si="56"/>
        <v>1</v>
      </c>
      <c r="W81" s="114">
        <f t="shared" si="21"/>
        <v>0</v>
      </c>
      <c r="X81" s="114">
        <f>S81*($H81-$I81)-W81</f>
        <v>10700</v>
      </c>
      <c r="Y81" s="114">
        <f>T81*($H81-$I81)-SUM(W81:X81)</f>
        <v>0</v>
      </c>
      <c r="Z81" s="114">
        <f>U81*($H81-$I81)-SUM(W81:Y81)</f>
        <v>0</v>
      </c>
      <c r="AA81" s="114">
        <f>V81*($H81-$I81)-SUM(W81:Z81)</f>
        <v>0</v>
      </c>
    </row>
    <row r="82" spans="1:28" ht="21" customHeight="1" x14ac:dyDescent="0.25">
      <c r="B82" s="125"/>
      <c r="D82" s="7" t="s">
        <v>67</v>
      </c>
      <c r="E82" s="8">
        <v>2</v>
      </c>
      <c r="F82" s="6" t="s">
        <v>41</v>
      </c>
      <c r="G82" s="6" t="s">
        <v>49</v>
      </c>
      <c r="H82" s="108">
        <v>4800</v>
      </c>
      <c r="I82" s="108">
        <v>0</v>
      </c>
      <c r="J82" s="108">
        <v>0</v>
      </c>
      <c r="K82" s="109">
        <f t="shared" si="0"/>
        <v>4800</v>
      </c>
      <c r="M82" s="112">
        <v>1</v>
      </c>
      <c r="N82" s="6">
        <f t="shared" si="3"/>
        <v>12</v>
      </c>
      <c r="O82" s="112">
        <v>84</v>
      </c>
      <c r="P82" s="112">
        <v>12</v>
      </c>
      <c r="Q82" s="6">
        <f>+O82+P82+18</f>
        <v>114</v>
      </c>
      <c r="R82" s="113">
        <f t="shared" si="56"/>
        <v>0</v>
      </c>
      <c r="S82" s="113">
        <f t="shared" si="56"/>
        <v>0</v>
      </c>
      <c r="T82" s="113">
        <f t="shared" si="56"/>
        <v>0</v>
      </c>
      <c r="U82" s="113">
        <f t="shared" si="56"/>
        <v>0</v>
      </c>
      <c r="V82" s="113">
        <f t="shared" si="56"/>
        <v>0</v>
      </c>
      <c r="W82" s="114">
        <f t="shared" si="21"/>
        <v>0</v>
      </c>
      <c r="X82" s="114">
        <f t="shared" ref="X82" si="61">S82*($H82-$I82)-W82</f>
        <v>0</v>
      </c>
      <c r="Y82" s="114">
        <f t="shared" ref="Y82" si="62">T82*($H82-$I82)-SUM(W82:X82)</f>
        <v>0</v>
      </c>
      <c r="Z82" s="114">
        <f t="shared" ref="Z82" si="63">U82*($H82-$I82)-SUM(W82:Y82)</f>
        <v>0</v>
      </c>
      <c r="AA82" s="114">
        <f t="shared" ref="AA82" si="64">V82*($H82-$I82)-SUM(W82:Z82)</f>
        <v>0</v>
      </c>
    </row>
    <row r="83" spans="1:28" s="10" customFormat="1" ht="21" customHeight="1" x14ac:dyDescent="0.25">
      <c r="A83" s="115"/>
      <c r="B83" s="123"/>
      <c r="C83" s="6"/>
      <c r="D83" s="124" t="s">
        <v>68</v>
      </c>
      <c r="E83" s="116">
        <v>5</v>
      </c>
      <c r="F83" s="129" t="s">
        <v>41</v>
      </c>
      <c r="G83" s="117" t="s">
        <v>49</v>
      </c>
      <c r="H83" s="118"/>
      <c r="I83" s="118"/>
      <c r="J83" s="118"/>
      <c r="K83" s="119"/>
      <c r="L83" s="117"/>
      <c r="M83" s="120"/>
      <c r="N83" s="117"/>
      <c r="O83" s="120"/>
      <c r="P83" s="120"/>
      <c r="Q83" s="117"/>
      <c r="R83" s="121"/>
      <c r="S83" s="121"/>
      <c r="T83" s="121"/>
      <c r="U83" s="121"/>
      <c r="V83" s="121"/>
      <c r="W83" s="122"/>
      <c r="X83" s="122"/>
      <c r="Y83" s="122"/>
      <c r="Z83" s="122"/>
      <c r="AA83" s="122"/>
      <c r="AB83" s="117"/>
    </row>
    <row r="84" spans="1:28" ht="21" customHeight="1" x14ac:dyDescent="0.25">
      <c r="B84" s="7"/>
      <c r="D84" s="7" t="s">
        <v>69</v>
      </c>
      <c r="E84" s="8">
        <v>4</v>
      </c>
      <c r="F84" s="6" t="s">
        <v>70</v>
      </c>
      <c r="G84" s="6" t="s">
        <v>71</v>
      </c>
      <c r="H84" s="108">
        <v>4500</v>
      </c>
      <c r="I84" s="108">
        <v>0</v>
      </c>
      <c r="J84" s="108">
        <v>0</v>
      </c>
      <c r="K84" s="109">
        <f t="shared" si="0"/>
        <v>0</v>
      </c>
      <c r="M84" s="112">
        <v>8</v>
      </c>
      <c r="N84" s="6">
        <f t="shared" si="3"/>
        <v>96</v>
      </c>
      <c r="O84" s="112">
        <v>60</v>
      </c>
      <c r="P84" s="112">
        <v>16</v>
      </c>
      <c r="Q84" s="6">
        <f t="shared" si="47"/>
        <v>94</v>
      </c>
      <c r="R84" s="113">
        <f t="shared" ref="R84:V87" si="65">IFERROR(IF(AND((R$219-$Q84)/$N84&gt;0,(R$219-$Q84)/$N84&lt;1),(R$219-$Q84)/$N84,IF((R$219-$Q84)/$N84&gt;0,1,0)),0)</f>
        <v>0</v>
      </c>
      <c r="S84" s="113">
        <f t="shared" si="65"/>
        <v>0</v>
      </c>
      <c r="T84" s="113">
        <f t="shared" si="65"/>
        <v>0</v>
      </c>
      <c r="U84" s="113">
        <f t="shared" si="65"/>
        <v>0</v>
      </c>
      <c r="V84" s="113">
        <f t="shared" si="65"/>
        <v>0</v>
      </c>
      <c r="W84" s="114">
        <f t="shared" si="21"/>
        <v>0</v>
      </c>
      <c r="X84" s="114">
        <f>S84*($H84-$I84)-W84</f>
        <v>0</v>
      </c>
      <c r="Y84" s="114">
        <f>T84*($H84-$I84)-SUM(W84:X84)</f>
        <v>0</v>
      </c>
      <c r="Z84" s="114">
        <f>U84*($H84-$I84)-SUM(W84:Y84)</f>
        <v>0</v>
      </c>
      <c r="AA84" s="114">
        <f>V84*($H84-$I84)-SUM(W84:Z84)</f>
        <v>0</v>
      </c>
    </row>
    <row r="85" spans="1:28" s="10" customFormat="1" ht="21" customHeight="1" x14ac:dyDescent="0.25">
      <c r="A85" s="115"/>
      <c r="B85" s="123"/>
      <c r="C85" s="6"/>
      <c r="D85" s="124" t="s">
        <v>72</v>
      </c>
      <c r="E85" s="116">
        <v>3</v>
      </c>
      <c r="F85" s="129" t="s">
        <v>70</v>
      </c>
      <c r="G85" s="117" t="s">
        <v>71</v>
      </c>
      <c r="H85" s="118">
        <v>0</v>
      </c>
      <c r="I85" s="118">
        <v>0</v>
      </c>
      <c r="J85" s="118">
        <v>0</v>
      </c>
      <c r="K85" s="119">
        <f t="shared" si="0"/>
        <v>0</v>
      </c>
      <c r="L85" s="117"/>
      <c r="M85" s="120">
        <v>3</v>
      </c>
      <c r="N85" s="117">
        <f t="shared" si="3"/>
        <v>36</v>
      </c>
      <c r="O85" s="120">
        <v>48</v>
      </c>
      <c r="P85" s="120">
        <v>18</v>
      </c>
      <c r="Q85" s="117">
        <f t="shared" si="47"/>
        <v>84</v>
      </c>
      <c r="R85" s="121">
        <f t="shared" si="65"/>
        <v>0</v>
      </c>
      <c r="S85" s="121">
        <f t="shared" si="65"/>
        <v>0</v>
      </c>
      <c r="T85" s="121">
        <f t="shared" si="65"/>
        <v>0</v>
      </c>
      <c r="U85" s="121">
        <f t="shared" si="65"/>
        <v>0</v>
      </c>
      <c r="V85" s="121">
        <f t="shared" si="65"/>
        <v>0</v>
      </c>
      <c r="W85" s="122">
        <f t="shared" si="21"/>
        <v>0</v>
      </c>
      <c r="X85" s="122">
        <f>S85*($H85-$I85)-W85</f>
        <v>0</v>
      </c>
      <c r="Y85" s="122">
        <f>T85*($H85-$I85)-SUM(W85:X85)</f>
        <v>0</v>
      </c>
      <c r="Z85" s="122">
        <f>U85*($H85-$I85)-SUM(W85:Y85)</f>
        <v>0</v>
      </c>
      <c r="AA85" s="122">
        <f>V85*($H85-$I85)-SUM(W85:Z85)</f>
        <v>0</v>
      </c>
      <c r="AB85" s="117"/>
    </row>
    <row r="86" spans="1:28" ht="21" customHeight="1" x14ac:dyDescent="0.25">
      <c r="B86" s="125"/>
      <c r="D86" s="7" t="s">
        <v>73</v>
      </c>
      <c r="E86" s="8">
        <v>2</v>
      </c>
      <c r="F86" s="6" t="s">
        <v>70</v>
      </c>
      <c r="G86" s="6" t="s">
        <v>71</v>
      </c>
      <c r="H86" s="108">
        <v>3000</v>
      </c>
      <c r="I86" s="108">
        <v>0</v>
      </c>
      <c r="J86" s="108">
        <v>0</v>
      </c>
      <c r="K86" s="109">
        <f t="shared" si="0"/>
        <v>3000</v>
      </c>
      <c r="M86" s="112">
        <v>3</v>
      </c>
      <c r="N86" s="6">
        <f t="shared" si="3"/>
        <v>36</v>
      </c>
      <c r="O86" s="112">
        <v>24</v>
      </c>
      <c r="P86" s="112">
        <v>14</v>
      </c>
      <c r="Q86" s="6">
        <f t="shared" si="47"/>
        <v>56</v>
      </c>
      <c r="R86" s="113">
        <f t="shared" si="65"/>
        <v>0</v>
      </c>
      <c r="S86" s="113">
        <f t="shared" si="65"/>
        <v>0</v>
      </c>
      <c r="T86" s="113">
        <f t="shared" si="65"/>
        <v>0</v>
      </c>
      <c r="U86" s="113">
        <f t="shared" si="65"/>
        <v>0</v>
      </c>
      <c r="V86" s="113">
        <f t="shared" si="65"/>
        <v>0</v>
      </c>
      <c r="W86" s="114">
        <f t="shared" si="21"/>
        <v>0</v>
      </c>
      <c r="X86" s="114">
        <f t="shared" ref="X86" si="66">S86*($H86-$I86)-W86</f>
        <v>0</v>
      </c>
      <c r="Y86" s="114">
        <f t="shared" ref="Y86" si="67">T86*($H86-$I86)-SUM(W86:X86)</f>
        <v>0</v>
      </c>
      <c r="Z86" s="114">
        <f t="shared" ref="Z86" si="68">U86*($H86-$I86)-SUM(W86:Y86)</f>
        <v>0</v>
      </c>
      <c r="AA86" s="114">
        <f t="shared" ref="AA86" si="69">V86*($H86-$I86)-SUM(W86:Z86)</f>
        <v>0</v>
      </c>
    </row>
    <row r="87" spans="1:28" ht="21" customHeight="1" x14ac:dyDescent="0.25">
      <c r="B87" s="7"/>
      <c r="D87" s="7" t="s">
        <v>74</v>
      </c>
      <c r="E87" s="8">
        <v>2</v>
      </c>
      <c r="F87" s="6" t="s">
        <v>70</v>
      </c>
      <c r="G87" s="6" t="s">
        <v>71</v>
      </c>
      <c r="H87" s="108">
        <v>2500</v>
      </c>
      <c r="I87" s="108">
        <v>0</v>
      </c>
      <c r="J87" s="108">
        <v>0</v>
      </c>
      <c r="K87" s="109">
        <f t="shared" si="0"/>
        <v>2500</v>
      </c>
      <c r="M87" s="112">
        <v>1</v>
      </c>
      <c r="N87" s="6">
        <f t="shared" si="3"/>
        <v>12</v>
      </c>
      <c r="O87" s="112">
        <v>24</v>
      </c>
      <c r="P87" s="112">
        <v>14</v>
      </c>
      <c r="Q87" s="6">
        <f t="shared" si="47"/>
        <v>56</v>
      </c>
      <c r="R87" s="113">
        <f t="shared" si="65"/>
        <v>0</v>
      </c>
      <c r="S87" s="113">
        <f t="shared" si="65"/>
        <v>0</v>
      </c>
      <c r="T87" s="113">
        <f t="shared" si="65"/>
        <v>0</v>
      </c>
      <c r="U87" s="113">
        <f t="shared" si="65"/>
        <v>0</v>
      </c>
      <c r="V87" s="113">
        <f t="shared" si="65"/>
        <v>0</v>
      </c>
      <c r="W87" s="114">
        <f t="shared" si="21"/>
        <v>0</v>
      </c>
      <c r="X87" s="114">
        <f>S87*($H87-$I87)-W87</f>
        <v>0</v>
      </c>
      <c r="Y87" s="114">
        <f>T87*($H87-$I87)-SUM(W87:X87)</f>
        <v>0</v>
      </c>
      <c r="Z87" s="114">
        <f>U87*($H87-$I87)-SUM(W87:Y87)</f>
        <v>0</v>
      </c>
      <c r="AA87" s="114">
        <f>V87*($H87-$I87)-SUM(W87:Z87)</f>
        <v>0</v>
      </c>
    </row>
    <row r="88" spans="1:28" s="10" customFormat="1" ht="21" customHeight="1" x14ac:dyDescent="0.25">
      <c r="A88" s="115"/>
      <c r="B88" s="123"/>
      <c r="C88" s="6"/>
      <c r="D88" s="124" t="s">
        <v>75</v>
      </c>
      <c r="E88" s="116">
        <v>2</v>
      </c>
      <c r="F88" s="129" t="s">
        <v>70</v>
      </c>
      <c r="G88" s="117" t="s">
        <v>71</v>
      </c>
      <c r="H88" s="118"/>
      <c r="I88" s="118"/>
      <c r="J88" s="118"/>
      <c r="K88" s="119"/>
      <c r="L88" s="117"/>
      <c r="M88" s="120"/>
      <c r="N88" s="117"/>
      <c r="O88" s="120"/>
      <c r="P88" s="120"/>
      <c r="Q88" s="117"/>
      <c r="R88" s="121"/>
      <c r="S88" s="121"/>
      <c r="T88" s="121"/>
      <c r="U88" s="121"/>
      <c r="V88" s="121"/>
      <c r="W88" s="122"/>
      <c r="X88" s="122"/>
      <c r="Y88" s="122"/>
      <c r="Z88" s="122"/>
      <c r="AA88" s="122"/>
      <c r="AB88" s="117"/>
    </row>
    <row r="89" spans="1:28" s="10" customFormat="1" ht="21" customHeight="1" x14ac:dyDescent="0.25">
      <c r="A89" s="115"/>
      <c r="B89" s="123"/>
      <c r="C89" s="6"/>
      <c r="D89" s="124" t="s">
        <v>76</v>
      </c>
      <c r="E89" s="116">
        <v>1</v>
      </c>
      <c r="F89" s="129" t="s">
        <v>70</v>
      </c>
      <c r="G89" s="117" t="s">
        <v>71</v>
      </c>
      <c r="H89" s="118"/>
      <c r="I89" s="118"/>
      <c r="J89" s="118"/>
      <c r="K89" s="119"/>
      <c r="L89" s="117"/>
      <c r="M89" s="120"/>
      <c r="N89" s="117"/>
      <c r="O89" s="120"/>
      <c r="P89" s="120"/>
      <c r="Q89" s="117"/>
      <c r="R89" s="121"/>
      <c r="S89" s="121"/>
      <c r="T89" s="121"/>
      <c r="U89" s="121"/>
      <c r="V89" s="121"/>
      <c r="W89" s="122"/>
      <c r="X89" s="122"/>
      <c r="Y89" s="122"/>
      <c r="Z89" s="122"/>
      <c r="AA89" s="122"/>
      <c r="AB89" s="117"/>
    </row>
    <row r="90" spans="1:28" s="10" customFormat="1" ht="21" customHeight="1" x14ac:dyDescent="0.25">
      <c r="A90" s="115"/>
      <c r="B90" s="123"/>
      <c r="C90" s="6"/>
      <c r="D90" s="124" t="s">
        <v>77</v>
      </c>
      <c r="E90" s="116">
        <v>3</v>
      </c>
      <c r="F90" s="129" t="s">
        <v>70</v>
      </c>
      <c r="G90" s="117" t="s">
        <v>32</v>
      </c>
      <c r="H90" s="118"/>
      <c r="I90" s="118"/>
      <c r="J90" s="118"/>
      <c r="K90" s="119"/>
      <c r="L90" s="117"/>
      <c r="M90" s="120"/>
      <c r="N90" s="117"/>
      <c r="O90" s="120"/>
      <c r="P90" s="120"/>
      <c r="Q90" s="117"/>
      <c r="R90" s="121"/>
      <c r="S90" s="121"/>
      <c r="T90" s="121"/>
      <c r="U90" s="121"/>
      <c r="V90" s="121"/>
      <c r="W90" s="122"/>
      <c r="X90" s="122"/>
      <c r="Y90" s="122"/>
      <c r="Z90" s="122"/>
      <c r="AA90" s="122"/>
      <c r="AB90" s="117"/>
    </row>
    <row r="91" spans="1:28" s="10" customFormat="1" ht="21" customHeight="1" x14ac:dyDescent="0.25">
      <c r="A91" s="115"/>
      <c r="B91" s="123"/>
      <c r="C91" s="6"/>
      <c r="D91" s="124" t="s">
        <v>78</v>
      </c>
      <c r="E91" s="116">
        <v>5</v>
      </c>
      <c r="F91" s="129" t="s">
        <v>70</v>
      </c>
      <c r="G91" s="117" t="s">
        <v>71</v>
      </c>
      <c r="H91" s="118"/>
      <c r="I91" s="118"/>
      <c r="J91" s="118"/>
      <c r="K91" s="119"/>
      <c r="L91" s="117"/>
      <c r="M91" s="120"/>
      <c r="N91" s="117"/>
      <c r="O91" s="120"/>
      <c r="P91" s="120"/>
      <c r="Q91" s="117"/>
      <c r="R91" s="121"/>
      <c r="S91" s="121"/>
      <c r="T91" s="121"/>
      <c r="U91" s="121"/>
      <c r="V91" s="121"/>
      <c r="W91" s="122"/>
      <c r="X91" s="122"/>
      <c r="Y91" s="122"/>
      <c r="Z91" s="122"/>
      <c r="AA91" s="122"/>
      <c r="AB91" s="117"/>
    </row>
    <row r="92" spans="1:28" s="10" customFormat="1" ht="21" customHeight="1" x14ac:dyDescent="0.25">
      <c r="A92" s="115"/>
      <c r="B92" s="123"/>
      <c r="C92" s="6"/>
      <c r="D92" s="124" t="s">
        <v>79</v>
      </c>
      <c r="E92" s="116">
        <v>2</v>
      </c>
      <c r="F92" s="129" t="s">
        <v>70</v>
      </c>
      <c r="G92" s="117" t="s">
        <v>71</v>
      </c>
      <c r="H92" s="118"/>
      <c r="I92" s="118"/>
      <c r="J92" s="118"/>
      <c r="K92" s="119"/>
      <c r="L92" s="117"/>
      <c r="M92" s="120"/>
      <c r="N92" s="117"/>
      <c r="O92" s="120"/>
      <c r="P92" s="120"/>
      <c r="Q92" s="117"/>
      <c r="R92" s="121"/>
      <c r="S92" s="121"/>
      <c r="T92" s="121"/>
      <c r="U92" s="121"/>
      <c r="V92" s="121"/>
      <c r="W92" s="122"/>
      <c r="X92" s="122"/>
      <c r="Y92" s="122"/>
      <c r="Z92" s="122"/>
      <c r="AA92" s="122"/>
      <c r="AB92" s="117"/>
    </row>
    <row r="93" spans="1:28" ht="21" customHeight="1" x14ac:dyDescent="0.25">
      <c r="A93" s="126"/>
      <c r="B93" s="7"/>
      <c r="D93" s="7" t="s">
        <v>80</v>
      </c>
      <c r="E93" s="8">
        <v>5</v>
      </c>
      <c r="F93" s="6" t="s">
        <v>70</v>
      </c>
      <c r="G93" s="6" t="s">
        <v>32</v>
      </c>
      <c r="H93" s="108">
        <v>12000</v>
      </c>
      <c r="I93" s="108">
        <v>0</v>
      </c>
      <c r="J93" s="108">
        <v>0</v>
      </c>
      <c r="K93" s="109">
        <f>+IF(E93=1,(H93-I93-J93),IF(E93=2,(H93-I93-J93),0))</f>
        <v>0</v>
      </c>
      <c r="M93" s="112">
        <v>10</v>
      </c>
      <c r="N93" s="6">
        <f>+M93*12</f>
        <v>120</v>
      </c>
      <c r="O93" s="112">
        <v>48</v>
      </c>
      <c r="P93" s="112">
        <v>14</v>
      </c>
      <c r="Q93" s="6">
        <f>+O93+P93+18</f>
        <v>80</v>
      </c>
      <c r="R93" s="113">
        <f t="shared" ref="R93:V99" si="70">IFERROR(IF(AND((R$219-$Q93)/$N93&gt;0,(R$219-$Q93)/$N93&lt;1),(R$219-$Q93)/$N93,IF((R$219-$Q93)/$N93&gt;0,1,0)),0)</f>
        <v>0</v>
      </c>
      <c r="S93" s="113">
        <f t="shared" si="70"/>
        <v>0</v>
      </c>
      <c r="T93" s="113">
        <f t="shared" si="70"/>
        <v>0</v>
      </c>
      <c r="U93" s="113">
        <f t="shared" si="70"/>
        <v>0</v>
      </c>
      <c r="V93" s="113">
        <f t="shared" si="70"/>
        <v>0</v>
      </c>
      <c r="W93" s="114">
        <f>R93*($H93-$I93)</f>
        <v>0</v>
      </c>
      <c r="X93" s="114">
        <f t="shared" ref="X93:X99" si="71">S93*($H93-$I93)-W93</f>
        <v>0</v>
      </c>
      <c r="Y93" s="114">
        <f t="shared" ref="Y93:Y99" si="72">T93*($H93-$I93)-SUM(W93:X93)</f>
        <v>0</v>
      </c>
      <c r="Z93" s="114">
        <f t="shared" ref="Z93:Z99" si="73">U93*($H93-$I93)-SUM(W93:Y93)</f>
        <v>0</v>
      </c>
      <c r="AA93" s="114">
        <f t="shared" ref="AA93:AA99" si="74">V93*($H93-$I93)-SUM(W93:Z93)</f>
        <v>0</v>
      </c>
    </row>
    <row r="94" spans="1:28" ht="21" customHeight="1" x14ac:dyDescent="0.25">
      <c r="B94" s="7"/>
      <c r="D94" s="7" t="s">
        <v>81</v>
      </c>
      <c r="E94" s="8">
        <v>4</v>
      </c>
      <c r="F94" s="6" t="s">
        <v>70</v>
      </c>
      <c r="G94" s="6" t="s">
        <v>32</v>
      </c>
      <c r="H94" s="108">
        <f>360*23</f>
        <v>8280</v>
      </c>
      <c r="I94" s="108">
        <v>0</v>
      </c>
      <c r="J94" s="108">
        <v>0</v>
      </c>
      <c r="K94" s="109">
        <f t="shared" si="0"/>
        <v>0</v>
      </c>
      <c r="M94" s="112">
        <v>6</v>
      </c>
      <c r="N94" s="6">
        <f t="shared" ref="N94:N150" si="75">+M94*12</f>
        <v>72</v>
      </c>
      <c r="O94" s="112">
        <v>48</v>
      </c>
      <c r="P94" s="112">
        <v>14</v>
      </c>
      <c r="Q94" s="6">
        <f t="shared" si="47"/>
        <v>80</v>
      </c>
      <c r="R94" s="113">
        <f t="shared" si="70"/>
        <v>0</v>
      </c>
      <c r="S94" s="113">
        <f t="shared" si="70"/>
        <v>0</v>
      </c>
      <c r="T94" s="113">
        <f t="shared" si="70"/>
        <v>0</v>
      </c>
      <c r="U94" s="113">
        <f t="shared" si="70"/>
        <v>0</v>
      </c>
      <c r="V94" s="113">
        <f t="shared" si="70"/>
        <v>0</v>
      </c>
      <c r="W94" s="114">
        <f t="shared" si="21"/>
        <v>0</v>
      </c>
      <c r="X94" s="114">
        <f t="shared" si="71"/>
        <v>0</v>
      </c>
      <c r="Y94" s="114">
        <f t="shared" si="72"/>
        <v>0</v>
      </c>
      <c r="Z94" s="114">
        <f t="shared" si="73"/>
        <v>0</v>
      </c>
      <c r="AA94" s="114">
        <f t="shared" si="74"/>
        <v>0</v>
      </c>
    </row>
    <row r="95" spans="1:28" ht="21" customHeight="1" x14ac:dyDescent="0.25">
      <c r="B95" s="7"/>
      <c r="D95" s="7" t="s">
        <v>82</v>
      </c>
      <c r="E95" s="8">
        <v>4</v>
      </c>
      <c r="F95" s="6" t="s">
        <v>70</v>
      </c>
      <c r="G95" s="6" t="s">
        <v>32</v>
      </c>
      <c r="H95" s="108">
        <f>600*23</f>
        <v>13800</v>
      </c>
      <c r="I95" s="108">
        <v>0</v>
      </c>
      <c r="J95" s="108">
        <v>0</v>
      </c>
      <c r="K95" s="109">
        <f t="shared" si="0"/>
        <v>0</v>
      </c>
      <c r="M95" s="112">
        <v>8</v>
      </c>
      <c r="N95" s="6">
        <f t="shared" si="75"/>
        <v>96</v>
      </c>
      <c r="O95" s="112">
        <v>48</v>
      </c>
      <c r="P95" s="112">
        <v>14</v>
      </c>
      <c r="Q95" s="6">
        <f t="shared" si="47"/>
        <v>80</v>
      </c>
      <c r="R95" s="113">
        <f t="shared" si="70"/>
        <v>0</v>
      </c>
      <c r="S95" s="113">
        <f t="shared" si="70"/>
        <v>0</v>
      </c>
      <c r="T95" s="113">
        <f t="shared" si="70"/>
        <v>0</v>
      </c>
      <c r="U95" s="113">
        <f t="shared" si="70"/>
        <v>0</v>
      </c>
      <c r="V95" s="113">
        <f t="shared" si="70"/>
        <v>0</v>
      </c>
      <c r="W95" s="114">
        <f t="shared" si="21"/>
        <v>0</v>
      </c>
      <c r="X95" s="114">
        <f t="shared" si="71"/>
        <v>0</v>
      </c>
      <c r="Y95" s="114">
        <f t="shared" si="72"/>
        <v>0</v>
      </c>
      <c r="Z95" s="114">
        <f t="shared" si="73"/>
        <v>0</v>
      </c>
      <c r="AA95" s="114">
        <f t="shared" si="74"/>
        <v>0</v>
      </c>
    </row>
    <row r="96" spans="1:28" ht="21" customHeight="1" x14ac:dyDescent="0.25">
      <c r="B96" s="7"/>
      <c r="D96" s="7" t="s">
        <v>83</v>
      </c>
      <c r="E96" s="8">
        <v>4</v>
      </c>
      <c r="F96" s="6" t="s">
        <v>84</v>
      </c>
      <c r="G96" s="6" t="s">
        <v>49</v>
      </c>
      <c r="H96" s="108">
        <v>0</v>
      </c>
      <c r="I96" s="108">
        <v>0</v>
      </c>
      <c r="J96" s="108">
        <v>0</v>
      </c>
      <c r="K96" s="109">
        <f t="shared" si="0"/>
        <v>0</v>
      </c>
      <c r="M96" s="112">
        <v>2</v>
      </c>
      <c r="N96" s="6">
        <f t="shared" si="75"/>
        <v>24</v>
      </c>
      <c r="O96" s="112">
        <v>48</v>
      </c>
      <c r="P96" s="112">
        <v>14</v>
      </c>
      <c r="Q96" s="6">
        <f t="shared" si="47"/>
        <v>80</v>
      </c>
      <c r="R96" s="113">
        <f t="shared" si="70"/>
        <v>0</v>
      </c>
      <c r="S96" s="113">
        <f t="shared" si="70"/>
        <v>0</v>
      </c>
      <c r="T96" s="113">
        <f t="shared" si="70"/>
        <v>0</v>
      </c>
      <c r="U96" s="113">
        <f t="shared" si="70"/>
        <v>0</v>
      </c>
      <c r="V96" s="113">
        <f t="shared" si="70"/>
        <v>0</v>
      </c>
      <c r="W96" s="114">
        <f t="shared" si="21"/>
        <v>0</v>
      </c>
      <c r="X96" s="114">
        <f t="shared" si="71"/>
        <v>0</v>
      </c>
      <c r="Y96" s="114">
        <f t="shared" si="72"/>
        <v>0</v>
      </c>
      <c r="Z96" s="114">
        <f t="shared" si="73"/>
        <v>0</v>
      </c>
      <c r="AA96" s="114">
        <f t="shared" si="74"/>
        <v>0</v>
      </c>
    </row>
    <row r="97" spans="1:28" ht="21" customHeight="1" x14ac:dyDescent="0.25">
      <c r="B97" s="7"/>
      <c r="D97" s="7" t="s">
        <v>85</v>
      </c>
      <c r="E97" s="8">
        <v>4</v>
      </c>
      <c r="F97" s="6" t="s">
        <v>84</v>
      </c>
      <c r="G97" s="6" t="s">
        <v>86</v>
      </c>
      <c r="H97" s="108">
        <v>0</v>
      </c>
      <c r="I97" s="108">
        <v>0</v>
      </c>
      <c r="J97" s="108">
        <v>0</v>
      </c>
      <c r="K97" s="109">
        <f t="shared" si="0"/>
        <v>0</v>
      </c>
      <c r="M97" s="112">
        <v>4</v>
      </c>
      <c r="N97" s="6">
        <f t="shared" si="75"/>
        <v>48</v>
      </c>
      <c r="O97" s="112">
        <v>48</v>
      </c>
      <c r="P97" s="112">
        <v>14</v>
      </c>
      <c r="Q97" s="6">
        <f t="shared" si="47"/>
        <v>80</v>
      </c>
      <c r="R97" s="113">
        <f t="shared" si="70"/>
        <v>0</v>
      </c>
      <c r="S97" s="113">
        <f t="shared" si="70"/>
        <v>0</v>
      </c>
      <c r="T97" s="113">
        <f t="shared" si="70"/>
        <v>0</v>
      </c>
      <c r="U97" s="113">
        <f t="shared" si="70"/>
        <v>0</v>
      </c>
      <c r="V97" s="113">
        <f t="shared" si="70"/>
        <v>0</v>
      </c>
      <c r="W97" s="114">
        <f t="shared" si="21"/>
        <v>0</v>
      </c>
      <c r="X97" s="114">
        <f t="shared" si="71"/>
        <v>0</v>
      </c>
      <c r="Y97" s="114">
        <f t="shared" si="72"/>
        <v>0</v>
      </c>
      <c r="Z97" s="114">
        <f t="shared" si="73"/>
        <v>0</v>
      </c>
      <c r="AA97" s="114">
        <f t="shared" si="74"/>
        <v>0</v>
      </c>
    </row>
    <row r="98" spans="1:28" ht="21" customHeight="1" x14ac:dyDescent="0.25">
      <c r="B98" s="7"/>
      <c r="D98" s="7" t="s">
        <v>87</v>
      </c>
      <c r="E98" s="8">
        <v>3</v>
      </c>
      <c r="F98" s="6" t="s">
        <v>84</v>
      </c>
      <c r="G98" s="6" t="s">
        <v>49</v>
      </c>
      <c r="H98" s="130">
        <v>14800</v>
      </c>
      <c r="I98" s="108">
        <v>0</v>
      </c>
      <c r="J98" s="108">
        <v>0</v>
      </c>
      <c r="K98" s="109">
        <f t="shared" si="0"/>
        <v>0</v>
      </c>
      <c r="M98" s="110" t="s">
        <v>305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2">
        <v>0</v>
      </c>
      <c r="X98" s="112">
        <v>0</v>
      </c>
      <c r="Y98" s="112">
        <v>0</v>
      </c>
      <c r="Z98" s="108">
        <v>14800</v>
      </c>
      <c r="AA98" s="108">
        <v>0</v>
      </c>
    </row>
    <row r="99" spans="1:28" ht="21" customHeight="1" x14ac:dyDescent="0.25">
      <c r="B99" s="7"/>
      <c r="D99" s="7" t="s">
        <v>88</v>
      </c>
      <c r="E99" s="8">
        <v>4</v>
      </c>
      <c r="F99" s="6" t="s">
        <v>84</v>
      </c>
      <c r="G99" s="6" t="s">
        <v>86</v>
      </c>
      <c r="H99" s="108">
        <f>78000-H98-H102</f>
        <v>62900</v>
      </c>
      <c r="I99" s="108">
        <v>0</v>
      </c>
      <c r="J99" s="108">
        <v>0</v>
      </c>
      <c r="K99" s="109">
        <f t="shared" si="0"/>
        <v>0</v>
      </c>
      <c r="M99" s="112">
        <v>3</v>
      </c>
      <c r="N99" s="6">
        <f t="shared" si="75"/>
        <v>36</v>
      </c>
      <c r="O99" s="112">
        <v>48</v>
      </c>
      <c r="P99" s="112">
        <v>14</v>
      </c>
      <c r="Q99" s="6">
        <f t="shared" si="47"/>
        <v>80</v>
      </c>
      <c r="R99" s="113">
        <f t="shared" si="70"/>
        <v>0</v>
      </c>
      <c r="S99" s="113">
        <f t="shared" si="70"/>
        <v>0</v>
      </c>
      <c r="T99" s="113">
        <f t="shared" si="70"/>
        <v>0</v>
      </c>
      <c r="U99" s="113">
        <f t="shared" si="70"/>
        <v>0</v>
      </c>
      <c r="V99" s="113">
        <f t="shared" si="70"/>
        <v>0</v>
      </c>
      <c r="W99" s="114">
        <f t="shared" si="21"/>
        <v>0</v>
      </c>
      <c r="X99" s="114">
        <f t="shared" si="71"/>
        <v>0</v>
      </c>
      <c r="Y99" s="114">
        <f t="shared" si="72"/>
        <v>0</v>
      </c>
      <c r="Z99" s="114">
        <f t="shared" si="73"/>
        <v>0</v>
      </c>
      <c r="AA99" s="114">
        <f t="shared" si="74"/>
        <v>0</v>
      </c>
    </row>
    <row r="100" spans="1:28" s="10" customFormat="1" ht="21" customHeight="1" x14ac:dyDescent="0.25">
      <c r="A100" s="115"/>
      <c r="B100" s="123"/>
      <c r="C100" s="6"/>
      <c r="D100" s="124" t="s">
        <v>89</v>
      </c>
      <c r="E100" s="116">
        <v>2</v>
      </c>
      <c r="F100" s="129" t="s">
        <v>84</v>
      </c>
      <c r="G100" s="117" t="s">
        <v>86</v>
      </c>
      <c r="H100" s="118"/>
      <c r="I100" s="118"/>
      <c r="J100" s="118"/>
      <c r="K100" s="119"/>
      <c r="L100" s="117"/>
      <c r="M100" s="120"/>
      <c r="N100" s="117"/>
      <c r="O100" s="120"/>
      <c r="P100" s="120"/>
      <c r="Q100" s="117"/>
      <c r="R100" s="121"/>
      <c r="S100" s="121"/>
      <c r="T100" s="121"/>
      <c r="U100" s="121"/>
      <c r="V100" s="121"/>
      <c r="W100" s="122"/>
      <c r="X100" s="122"/>
      <c r="Y100" s="122"/>
      <c r="Z100" s="122"/>
      <c r="AA100" s="122"/>
      <c r="AB100" s="117"/>
    </row>
    <row r="101" spans="1:28" s="10" customFormat="1" ht="21" customHeight="1" x14ac:dyDescent="0.25">
      <c r="A101" s="115"/>
      <c r="B101" s="123"/>
      <c r="C101" s="6"/>
      <c r="D101" s="124" t="s">
        <v>90</v>
      </c>
      <c r="E101" s="116">
        <v>2</v>
      </c>
      <c r="F101" s="129" t="s">
        <v>84</v>
      </c>
      <c r="G101" s="117" t="s">
        <v>86</v>
      </c>
      <c r="H101" s="118"/>
      <c r="I101" s="118"/>
      <c r="J101" s="118"/>
      <c r="K101" s="119"/>
      <c r="L101" s="117"/>
      <c r="M101" s="120"/>
      <c r="N101" s="117"/>
      <c r="O101" s="120"/>
      <c r="P101" s="120"/>
      <c r="Q101" s="117"/>
      <c r="R101" s="121"/>
      <c r="S101" s="121"/>
      <c r="T101" s="121"/>
      <c r="U101" s="121"/>
      <c r="V101" s="121"/>
      <c r="W101" s="122"/>
      <c r="X101" s="122"/>
      <c r="Y101" s="122"/>
      <c r="Z101" s="122"/>
      <c r="AA101" s="122"/>
      <c r="AB101" s="117"/>
    </row>
    <row r="102" spans="1:28" s="138" customFormat="1" ht="21" customHeight="1" x14ac:dyDescent="0.25">
      <c r="A102" s="11"/>
      <c r="B102" s="123"/>
      <c r="C102" s="6"/>
      <c r="D102" s="132" t="s">
        <v>91</v>
      </c>
      <c r="E102" s="133">
        <v>1</v>
      </c>
      <c r="F102" s="133" t="s">
        <v>84</v>
      </c>
      <c r="G102" s="133" t="s">
        <v>86</v>
      </c>
      <c r="H102" s="134">
        <v>300</v>
      </c>
      <c r="I102" s="134">
        <v>300</v>
      </c>
      <c r="J102" s="134">
        <f>+H102-I102</f>
        <v>0</v>
      </c>
      <c r="K102" s="134">
        <f>+IF(E102=1,(H102-I102-J102),IF(E102=2,(H102-I102-J102),0))</f>
        <v>0</v>
      </c>
      <c r="L102" s="135"/>
      <c r="M102" s="133"/>
      <c r="N102" s="133"/>
      <c r="O102" s="139"/>
      <c r="P102" s="139"/>
      <c r="Q102" s="133"/>
      <c r="R102" s="136"/>
      <c r="S102" s="136"/>
      <c r="T102" s="136"/>
      <c r="U102" s="136"/>
      <c r="V102" s="136"/>
      <c r="W102" s="137"/>
      <c r="X102" s="137"/>
      <c r="Y102" s="137"/>
      <c r="Z102" s="137"/>
      <c r="AA102" s="137"/>
      <c r="AB102" s="135"/>
    </row>
    <row r="103" spans="1:28" s="10" customFormat="1" ht="21" customHeight="1" x14ac:dyDescent="0.25">
      <c r="A103" s="115"/>
      <c r="B103" s="123"/>
      <c r="C103" s="6"/>
      <c r="D103" s="124" t="s">
        <v>92</v>
      </c>
      <c r="E103" s="116">
        <v>2</v>
      </c>
      <c r="F103" s="129" t="s">
        <v>84</v>
      </c>
      <c r="G103" s="117" t="s">
        <v>86</v>
      </c>
      <c r="H103" s="118"/>
      <c r="I103" s="118"/>
      <c r="J103" s="118"/>
      <c r="K103" s="119"/>
      <c r="L103" s="117"/>
      <c r="M103" s="120"/>
      <c r="N103" s="117"/>
      <c r="O103" s="120"/>
      <c r="P103" s="120"/>
      <c r="Q103" s="117"/>
      <c r="R103" s="121"/>
      <c r="S103" s="121"/>
      <c r="T103" s="121"/>
      <c r="U103" s="121"/>
      <c r="V103" s="121"/>
      <c r="W103" s="122"/>
      <c r="X103" s="122"/>
      <c r="Y103" s="122"/>
      <c r="Z103" s="122"/>
      <c r="AA103" s="122"/>
      <c r="AB103" s="117"/>
    </row>
    <row r="104" spans="1:28" s="10" customFormat="1" ht="21" customHeight="1" x14ac:dyDescent="0.25">
      <c r="A104" s="115"/>
      <c r="B104" s="123"/>
      <c r="C104" s="6"/>
      <c r="D104" s="124" t="s">
        <v>93</v>
      </c>
      <c r="E104" s="116">
        <v>5</v>
      </c>
      <c r="F104" s="129" t="s">
        <v>84</v>
      </c>
      <c r="G104" s="117" t="s">
        <v>86</v>
      </c>
      <c r="H104" s="118"/>
      <c r="I104" s="118"/>
      <c r="J104" s="118"/>
      <c r="K104" s="119"/>
      <c r="L104" s="117"/>
      <c r="M104" s="120"/>
      <c r="N104" s="117"/>
      <c r="O104" s="120"/>
      <c r="P104" s="120"/>
      <c r="Q104" s="117"/>
      <c r="R104" s="121"/>
      <c r="S104" s="121"/>
      <c r="T104" s="121"/>
      <c r="U104" s="121"/>
      <c r="V104" s="121"/>
      <c r="W104" s="122"/>
      <c r="X104" s="122"/>
      <c r="Y104" s="122"/>
      <c r="Z104" s="122"/>
      <c r="AA104" s="122"/>
      <c r="AB104" s="117"/>
    </row>
    <row r="105" spans="1:28" ht="21" customHeight="1" x14ac:dyDescent="0.25">
      <c r="B105" s="7"/>
      <c r="D105" s="7" t="s">
        <v>94</v>
      </c>
      <c r="E105" s="8">
        <v>1</v>
      </c>
      <c r="F105" s="6" t="s">
        <v>84</v>
      </c>
      <c r="G105" s="6" t="s">
        <v>86</v>
      </c>
      <c r="H105" s="108">
        <v>48200</v>
      </c>
      <c r="I105" s="108">
        <v>0</v>
      </c>
      <c r="J105" s="108">
        <v>8100</v>
      </c>
      <c r="K105" s="109">
        <f t="shared" si="0"/>
        <v>40100</v>
      </c>
      <c r="M105" s="110" t="s">
        <v>306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2">
        <v>1750</v>
      </c>
      <c r="X105" s="112">
        <v>6350</v>
      </c>
      <c r="Y105" s="112">
        <v>0</v>
      </c>
      <c r="Z105" s="112">
        <v>550</v>
      </c>
      <c r="AA105" s="112">
        <v>0</v>
      </c>
    </row>
    <row r="106" spans="1:28" s="10" customFormat="1" ht="21" customHeight="1" x14ac:dyDescent="0.25">
      <c r="A106" s="11"/>
      <c r="B106" s="7"/>
      <c r="C106" s="6"/>
      <c r="D106" s="124" t="s">
        <v>526</v>
      </c>
      <c r="E106" s="116">
        <v>4</v>
      </c>
      <c r="F106" s="6" t="s">
        <v>84</v>
      </c>
      <c r="G106" s="117" t="s">
        <v>86</v>
      </c>
      <c r="H106" s="118"/>
      <c r="I106" s="118"/>
      <c r="J106" s="118"/>
      <c r="K106" s="119"/>
      <c r="L106" s="117"/>
      <c r="M106" s="120"/>
      <c r="N106" s="117"/>
      <c r="O106" s="120"/>
      <c r="P106" s="120"/>
      <c r="Q106" s="117"/>
      <c r="R106" s="121"/>
      <c r="S106" s="121"/>
      <c r="T106" s="121"/>
      <c r="U106" s="121"/>
      <c r="V106" s="121"/>
      <c r="W106" s="122"/>
      <c r="X106" s="122"/>
      <c r="Y106" s="122"/>
      <c r="Z106" s="122"/>
      <c r="AA106" s="122"/>
      <c r="AB106" s="117"/>
    </row>
    <row r="107" spans="1:28" ht="21" customHeight="1" x14ac:dyDescent="0.25">
      <c r="B107" s="7"/>
      <c r="D107" s="140" t="s">
        <v>95</v>
      </c>
      <c r="E107" s="8">
        <v>2</v>
      </c>
      <c r="F107" s="6" t="s">
        <v>84</v>
      </c>
      <c r="G107" s="6" t="s">
        <v>86</v>
      </c>
      <c r="H107" s="108">
        <v>9000</v>
      </c>
      <c r="I107" s="108">
        <v>0</v>
      </c>
      <c r="J107" s="108">
        <v>0</v>
      </c>
      <c r="K107" s="109">
        <f t="shared" si="0"/>
        <v>9000</v>
      </c>
      <c r="M107" s="112">
        <v>2.5</v>
      </c>
      <c r="N107" s="6">
        <f t="shared" si="75"/>
        <v>30</v>
      </c>
      <c r="O107" s="112">
        <v>48</v>
      </c>
      <c r="P107" s="112">
        <v>16</v>
      </c>
      <c r="Q107" s="6">
        <f t="shared" si="47"/>
        <v>82</v>
      </c>
      <c r="R107" s="113">
        <f t="shared" ref="R107:V112" si="76">IFERROR(IF(AND((R$219-$Q107)/$N107&gt;0,(R$219-$Q107)/$N107&lt;1),(R$219-$Q107)/$N107,IF((R$219-$Q107)/$N107&gt;0,1,0)),0)</f>
        <v>0</v>
      </c>
      <c r="S107" s="113">
        <f t="shared" si="76"/>
        <v>0</v>
      </c>
      <c r="T107" s="113">
        <f t="shared" si="76"/>
        <v>0</v>
      </c>
      <c r="U107" s="113">
        <f t="shared" si="76"/>
        <v>0</v>
      </c>
      <c r="V107" s="113">
        <f t="shared" si="76"/>
        <v>0</v>
      </c>
      <c r="W107" s="114">
        <f t="shared" si="21"/>
        <v>0</v>
      </c>
      <c r="X107" s="114">
        <f t="shared" ref="X107:X112" si="77">S107*($H107-$I107)-W107</f>
        <v>0</v>
      </c>
      <c r="Y107" s="114">
        <f t="shared" ref="Y107:Y112" si="78">T107*($H107-$I107)-SUM(W107:X107)</f>
        <v>0</v>
      </c>
      <c r="Z107" s="114">
        <f t="shared" ref="Z107:Z112" si="79">U107*($H107-$I107)-SUM(W107:Y107)</f>
        <v>0</v>
      </c>
      <c r="AA107" s="114">
        <f t="shared" ref="AA107:AA112" si="80">V107*($H107-$I107)-SUM(W107:Z107)</f>
        <v>0</v>
      </c>
    </row>
    <row r="108" spans="1:28" s="10" customFormat="1" ht="21" customHeight="1" x14ac:dyDescent="0.25">
      <c r="A108" s="115"/>
      <c r="B108" s="123"/>
      <c r="C108" s="6"/>
      <c r="D108" s="124" t="s">
        <v>96</v>
      </c>
      <c r="E108" s="116">
        <v>4</v>
      </c>
      <c r="F108" s="129" t="s">
        <v>84</v>
      </c>
      <c r="G108" s="117" t="s">
        <v>86</v>
      </c>
      <c r="H108" s="118">
        <v>0</v>
      </c>
      <c r="I108" s="118">
        <v>0</v>
      </c>
      <c r="J108" s="118">
        <v>0</v>
      </c>
      <c r="K108" s="119">
        <f t="shared" si="0"/>
        <v>0</v>
      </c>
      <c r="L108" s="117"/>
      <c r="M108" s="120">
        <v>1</v>
      </c>
      <c r="N108" s="117">
        <f t="shared" si="75"/>
        <v>12</v>
      </c>
      <c r="O108" s="120">
        <v>48</v>
      </c>
      <c r="P108" s="120">
        <v>14</v>
      </c>
      <c r="Q108" s="117">
        <f t="shared" si="47"/>
        <v>80</v>
      </c>
      <c r="R108" s="121">
        <f t="shared" si="76"/>
        <v>0</v>
      </c>
      <c r="S108" s="121">
        <f t="shared" si="76"/>
        <v>0</v>
      </c>
      <c r="T108" s="121">
        <f t="shared" si="76"/>
        <v>0</v>
      </c>
      <c r="U108" s="121">
        <f t="shared" si="76"/>
        <v>0</v>
      </c>
      <c r="V108" s="121">
        <f t="shared" si="76"/>
        <v>0</v>
      </c>
      <c r="W108" s="122">
        <f t="shared" si="21"/>
        <v>0</v>
      </c>
      <c r="X108" s="122">
        <f t="shared" si="77"/>
        <v>0</v>
      </c>
      <c r="Y108" s="122">
        <f t="shared" si="78"/>
        <v>0</v>
      </c>
      <c r="Z108" s="122">
        <f t="shared" si="79"/>
        <v>0</v>
      </c>
      <c r="AA108" s="122">
        <f t="shared" si="80"/>
        <v>0</v>
      </c>
      <c r="AB108" s="117"/>
    </row>
    <row r="109" spans="1:28" ht="21" customHeight="1" x14ac:dyDescent="0.25">
      <c r="A109" s="126"/>
      <c r="B109" s="7"/>
      <c r="D109" s="7" t="s">
        <v>97</v>
      </c>
      <c r="E109" s="8">
        <v>4</v>
      </c>
      <c r="F109" s="6" t="s">
        <v>84</v>
      </c>
      <c r="G109" s="6" t="s">
        <v>86</v>
      </c>
      <c r="H109" s="108">
        <v>85000</v>
      </c>
      <c r="I109" s="108">
        <v>0</v>
      </c>
      <c r="J109" s="108">
        <v>0</v>
      </c>
      <c r="K109" s="109">
        <f t="shared" si="0"/>
        <v>0</v>
      </c>
      <c r="M109" s="112">
        <v>10</v>
      </c>
      <c r="N109" s="6">
        <f t="shared" si="75"/>
        <v>120</v>
      </c>
      <c r="O109" s="112">
        <v>48</v>
      </c>
      <c r="P109" s="112">
        <v>14</v>
      </c>
      <c r="Q109" s="6">
        <f t="shared" si="47"/>
        <v>80</v>
      </c>
      <c r="R109" s="113">
        <f t="shared" si="76"/>
        <v>0</v>
      </c>
      <c r="S109" s="113">
        <f t="shared" si="76"/>
        <v>0</v>
      </c>
      <c r="T109" s="113">
        <f t="shared" si="76"/>
        <v>0</v>
      </c>
      <c r="U109" s="113">
        <f t="shared" si="76"/>
        <v>0</v>
      </c>
      <c r="V109" s="113">
        <f t="shared" si="76"/>
        <v>0</v>
      </c>
      <c r="W109" s="114">
        <f t="shared" si="21"/>
        <v>0</v>
      </c>
      <c r="X109" s="114">
        <f t="shared" si="77"/>
        <v>0</v>
      </c>
      <c r="Y109" s="114">
        <f t="shared" si="78"/>
        <v>0</v>
      </c>
      <c r="Z109" s="114">
        <f t="shared" si="79"/>
        <v>0</v>
      </c>
      <c r="AA109" s="114">
        <f t="shared" si="80"/>
        <v>0</v>
      </c>
    </row>
    <row r="110" spans="1:28" ht="21" customHeight="1" x14ac:dyDescent="0.25">
      <c r="A110" s="126"/>
      <c r="B110" s="7"/>
      <c r="D110" s="7" t="s">
        <v>98</v>
      </c>
      <c r="E110" s="8">
        <v>5</v>
      </c>
      <c r="F110" s="6" t="s">
        <v>84</v>
      </c>
      <c r="G110" s="6" t="s">
        <v>86</v>
      </c>
      <c r="H110" s="108">
        <v>10000</v>
      </c>
      <c r="I110" s="108">
        <v>0</v>
      </c>
      <c r="J110" s="108">
        <v>0</v>
      </c>
      <c r="K110" s="109">
        <f t="shared" si="0"/>
        <v>0</v>
      </c>
      <c r="M110" s="112">
        <v>11</v>
      </c>
      <c r="N110" s="6">
        <f t="shared" si="75"/>
        <v>132</v>
      </c>
      <c r="O110" s="112">
        <v>84</v>
      </c>
      <c r="P110" s="112">
        <v>14</v>
      </c>
      <c r="Q110" s="6">
        <f t="shared" si="47"/>
        <v>116</v>
      </c>
      <c r="R110" s="113">
        <f t="shared" si="76"/>
        <v>0</v>
      </c>
      <c r="S110" s="113">
        <f t="shared" si="76"/>
        <v>0</v>
      </c>
      <c r="T110" s="113">
        <f t="shared" si="76"/>
        <v>0</v>
      </c>
      <c r="U110" s="113">
        <f t="shared" si="76"/>
        <v>0</v>
      </c>
      <c r="V110" s="113">
        <f t="shared" si="76"/>
        <v>0</v>
      </c>
      <c r="W110" s="114">
        <f t="shared" si="21"/>
        <v>0</v>
      </c>
      <c r="X110" s="114">
        <f t="shared" si="77"/>
        <v>0</v>
      </c>
      <c r="Y110" s="114">
        <f t="shared" si="78"/>
        <v>0</v>
      </c>
      <c r="Z110" s="114">
        <f t="shared" si="79"/>
        <v>0</v>
      </c>
      <c r="AA110" s="114">
        <f t="shared" si="80"/>
        <v>0</v>
      </c>
    </row>
    <row r="111" spans="1:28" ht="21" customHeight="1" x14ac:dyDescent="0.25">
      <c r="B111" s="7"/>
      <c r="D111" s="140" t="s">
        <v>99</v>
      </c>
      <c r="E111" s="8">
        <v>4</v>
      </c>
      <c r="F111" s="6" t="s">
        <v>84</v>
      </c>
      <c r="G111" s="6" t="s">
        <v>100</v>
      </c>
      <c r="H111" s="108">
        <v>30000</v>
      </c>
      <c r="I111" s="108">
        <v>0</v>
      </c>
      <c r="J111" s="108">
        <v>0</v>
      </c>
      <c r="K111" s="109">
        <f t="shared" si="0"/>
        <v>0</v>
      </c>
      <c r="M111" s="112">
        <v>3</v>
      </c>
      <c r="N111" s="6">
        <f t="shared" si="75"/>
        <v>36</v>
      </c>
      <c r="O111" s="112">
        <v>48</v>
      </c>
      <c r="P111" s="112">
        <v>14</v>
      </c>
      <c r="Q111" s="6">
        <f t="shared" si="47"/>
        <v>80</v>
      </c>
      <c r="R111" s="113">
        <f t="shared" si="76"/>
        <v>0</v>
      </c>
      <c r="S111" s="113">
        <f t="shared" si="76"/>
        <v>0</v>
      </c>
      <c r="T111" s="113">
        <f t="shared" si="76"/>
        <v>0</v>
      </c>
      <c r="U111" s="113">
        <f t="shared" si="76"/>
        <v>0</v>
      </c>
      <c r="V111" s="113">
        <f t="shared" si="76"/>
        <v>0</v>
      </c>
      <c r="W111" s="114">
        <f t="shared" si="21"/>
        <v>0</v>
      </c>
      <c r="X111" s="114">
        <f t="shared" si="77"/>
        <v>0</v>
      </c>
      <c r="Y111" s="114">
        <f t="shared" si="78"/>
        <v>0</v>
      </c>
      <c r="Z111" s="114">
        <f t="shared" si="79"/>
        <v>0</v>
      </c>
      <c r="AA111" s="114">
        <f t="shared" si="80"/>
        <v>0</v>
      </c>
    </row>
    <row r="112" spans="1:28" ht="21" customHeight="1" x14ac:dyDescent="0.25">
      <c r="B112" s="7"/>
      <c r="D112" s="140" t="s">
        <v>101</v>
      </c>
      <c r="E112" s="8">
        <v>5</v>
      </c>
      <c r="F112" s="6" t="s">
        <v>84</v>
      </c>
      <c r="G112" s="6" t="s">
        <v>100</v>
      </c>
      <c r="H112" s="108">
        <v>30000</v>
      </c>
      <c r="I112" s="108">
        <v>0</v>
      </c>
      <c r="J112" s="108">
        <v>0</v>
      </c>
      <c r="K112" s="109">
        <f t="shared" si="0"/>
        <v>0</v>
      </c>
      <c r="M112" s="112">
        <v>2</v>
      </c>
      <c r="N112" s="6">
        <f t="shared" si="75"/>
        <v>24</v>
      </c>
      <c r="O112" s="112">
        <v>48</v>
      </c>
      <c r="P112" s="112">
        <v>14</v>
      </c>
      <c r="Q112" s="6">
        <f t="shared" si="47"/>
        <v>80</v>
      </c>
      <c r="R112" s="113">
        <f t="shared" si="76"/>
        <v>0</v>
      </c>
      <c r="S112" s="113">
        <f t="shared" si="76"/>
        <v>0</v>
      </c>
      <c r="T112" s="113">
        <f t="shared" si="76"/>
        <v>0</v>
      </c>
      <c r="U112" s="113">
        <f t="shared" si="76"/>
        <v>0</v>
      </c>
      <c r="V112" s="113">
        <f t="shared" si="76"/>
        <v>0</v>
      </c>
      <c r="W112" s="114">
        <f t="shared" si="21"/>
        <v>0</v>
      </c>
      <c r="X112" s="114">
        <f t="shared" si="77"/>
        <v>0</v>
      </c>
      <c r="Y112" s="114">
        <f t="shared" si="78"/>
        <v>0</v>
      </c>
      <c r="Z112" s="114">
        <f t="shared" si="79"/>
        <v>0</v>
      </c>
      <c r="AA112" s="114">
        <f t="shared" si="80"/>
        <v>0</v>
      </c>
    </row>
    <row r="113" spans="1:28" s="10" customFormat="1" ht="21" customHeight="1" x14ac:dyDescent="0.25">
      <c r="A113" s="115"/>
      <c r="B113" s="123"/>
      <c r="C113" s="6"/>
      <c r="D113" s="124" t="s">
        <v>102</v>
      </c>
      <c r="E113" s="116">
        <v>5</v>
      </c>
      <c r="F113" s="129" t="s">
        <v>84</v>
      </c>
      <c r="G113" s="117" t="s">
        <v>103</v>
      </c>
      <c r="H113" s="118"/>
      <c r="I113" s="118"/>
      <c r="J113" s="118"/>
      <c r="K113" s="119"/>
      <c r="L113" s="117"/>
      <c r="M113" s="120"/>
      <c r="N113" s="117"/>
      <c r="O113" s="120"/>
      <c r="P113" s="120"/>
      <c r="Q113" s="117"/>
      <c r="R113" s="121"/>
      <c r="S113" s="121"/>
      <c r="T113" s="121"/>
      <c r="U113" s="121"/>
      <c r="V113" s="121"/>
      <c r="W113" s="122"/>
      <c r="X113" s="122"/>
      <c r="Y113" s="122"/>
      <c r="Z113" s="122"/>
      <c r="AA113" s="122"/>
      <c r="AB113" s="117"/>
    </row>
    <row r="114" spans="1:28" ht="21" customHeight="1" x14ac:dyDescent="0.25">
      <c r="B114" s="7"/>
      <c r="D114" s="7" t="s">
        <v>104</v>
      </c>
      <c r="E114" s="8">
        <v>4</v>
      </c>
      <c r="F114" s="6" t="s">
        <v>84</v>
      </c>
      <c r="G114" s="6" t="s">
        <v>105</v>
      </c>
      <c r="H114" s="108">
        <v>15000</v>
      </c>
      <c r="I114" s="108">
        <v>0</v>
      </c>
      <c r="J114" s="108">
        <v>0</v>
      </c>
      <c r="K114" s="109">
        <f t="shared" si="0"/>
        <v>0</v>
      </c>
      <c r="M114" s="112">
        <v>11</v>
      </c>
      <c r="N114" s="6">
        <f t="shared" si="75"/>
        <v>132</v>
      </c>
      <c r="O114" s="112">
        <v>48</v>
      </c>
      <c r="P114" s="112">
        <v>14</v>
      </c>
      <c r="Q114" s="6">
        <f t="shared" si="47"/>
        <v>80</v>
      </c>
      <c r="R114" s="113">
        <f>IFERROR(IF(AND((R$219-$Q114)/$N114&gt;0,(R$219-$Q114)/$N114&lt;1),(R$219-$Q114)/$N114,IF((R$219-$Q114)/$N114&gt;0,1,0)),0)</f>
        <v>0</v>
      </c>
      <c r="S114" s="113">
        <f>IFERROR(IF(AND((S$219-$Q114)/$N114&gt;0,(S$219-$Q114)/$N114&lt;1),(S$219-$Q114)/$N114,IF((S$219-$Q114)/$N114&gt;0,1,0)),0)</f>
        <v>0</v>
      </c>
      <c r="T114" s="113">
        <f>IFERROR(IF(AND((T$219-$Q114)/$N114&gt;0,(T$219-$Q114)/$N114&lt;1),(T$219-$Q114)/$N114,IF((T$219-$Q114)/$N114&gt;0,1,0)),0)</f>
        <v>0</v>
      </c>
      <c r="U114" s="113">
        <f>IFERROR(IF(AND((U$219-$Q114)/$N114&gt;0,(U$219-$Q114)/$N114&lt;1),(U$219-$Q114)/$N114,IF((U$219-$Q114)/$N114&gt;0,1,0)),0)</f>
        <v>0</v>
      </c>
      <c r="V114" s="113">
        <f>IFERROR(IF(AND((V$219-$Q114)/$N114&gt;0,(V$219-$Q114)/$N114&lt;1),(V$219-$Q114)/$N114,IF((V$219-$Q114)/$N114&gt;0,1,0)),0)</f>
        <v>0</v>
      </c>
      <c r="W114" s="114">
        <f t="shared" si="21"/>
        <v>0</v>
      </c>
      <c r="X114" s="114">
        <f>S114*($H114-$I114)-W114</f>
        <v>0</v>
      </c>
      <c r="Y114" s="114">
        <f>T114*($H114-$I114)-SUM(W114:X114)</f>
        <v>0</v>
      </c>
      <c r="Z114" s="114">
        <f>U114*($H114-$I114)-SUM(W114:Y114)</f>
        <v>0</v>
      </c>
      <c r="AA114" s="114">
        <f>V114*($H114-$I114)-SUM(W114:Z114)</f>
        <v>0</v>
      </c>
    </row>
    <row r="115" spans="1:28" ht="21" customHeight="1" x14ac:dyDescent="0.25">
      <c r="B115" s="7"/>
      <c r="D115" s="7" t="s">
        <v>106</v>
      </c>
      <c r="E115" s="8">
        <v>2</v>
      </c>
      <c r="F115" s="6" t="s">
        <v>84</v>
      </c>
      <c r="G115" s="6" t="s">
        <v>105</v>
      </c>
      <c r="H115" s="108">
        <v>100</v>
      </c>
      <c r="I115" s="108">
        <v>0</v>
      </c>
      <c r="J115" s="108">
        <v>0</v>
      </c>
      <c r="K115" s="109">
        <f t="shared" si="0"/>
        <v>100</v>
      </c>
      <c r="M115" s="110" t="s">
        <v>306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2">
        <v>-3400</v>
      </c>
      <c r="X115" s="112">
        <v>0</v>
      </c>
      <c r="Y115" s="112">
        <v>0</v>
      </c>
      <c r="Z115" s="112">
        <v>-350</v>
      </c>
      <c r="AA115" s="112">
        <v>800</v>
      </c>
    </row>
    <row r="116" spans="1:28" s="10" customFormat="1" ht="21" customHeight="1" x14ac:dyDescent="0.25">
      <c r="A116" s="11"/>
      <c r="B116" s="7"/>
      <c r="C116" s="6"/>
      <c r="D116" s="124" t="s">
        <v>107</v>
      </c>
      <c r="E116" s="116">
        <v>1</v>
      </c>
      <c r="F116" s="117" t="s">
        <v>84</v>
      </c>
      <c r="G116" s="117" t="s">
        <v>100</v>
      </c>
      <c r="H116" s="118"/>
      <c r="I116" s="118"/>
      <c r="J116" s="118"/>
      <c r="K116" s="119"/>
      <c r="L116" s="117"/>
      <c r="M116" s="120"/>
      <c r="N116" s="117"/>
      <c r="O116" s="120"/>
      <c r="P116" s="120"/>
      <c r="Q116" s="117"/>
      <c r="R116" s="121"/>
      <c r="S116" s="121"/>
      <c r="T116" s="121"/>
      <c r="U116" s="121"/>
      <c r="V116" s="121"/>
      <c r="W116" s="122"/>
      <c r="X116" s="122"/>
      <c r="Y116" s="122"/>
      <c r="Z116" s="122"/>
      <c r="AA116" s="122"/>
      <c r="AB116" s="117"/>
    </row>
    <row r="117" spans="1:28" ht="21" customHeight="1" x14ac:dyDescent="0.25">
      <c r="B117" s="7"/>
      <c r="D117" s="7" t="s">
        <v>108</v>
      </c>
      <c r="E117" s="8">
        <v>1</v>
      </c>
      <c r="F117" s="6" t="s">
        <v>84</v>
      </c>
      <c r="G117" s="6" t="s">
        <v>103</v>
      </c>
      <c r="H117" s="108">
        <v>27000</v>
      </c>
      <c r="I117" s="108">
        <v>0</v>
      </c>
      <c r="J117" s="108">
        <v>0</v>
      </c>
      <c r="K117" s="109">
        <f t="shared" si="0"/>
        <v>27000</v>
      </c>
      <c r="M117" s="110" t="s">
        <v>306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</row>
    <row r="118" spans="1:28" s="10" customFormat="1" ht="21" customHeight="1" x14ac:dyDescent="0.25">
      <c r="A118" s="11"/>
      <c r="B118" s="7"/>
      <c r="C118" s="6"/>
      <c r="D118" s="124" t="s">
        <v>109</v>
      </c>
      <c r="E118" s="116">
        <v>3</v>
      </c>
      <c r="F118" s="117" t="s">
        <v>84</v>
      </c>
      <c r="G118" s="117" t="s">
        <v>103</v>
      </c>
      <c r="H118" s="118"/>
      <c r="I118" s="118"/>
      <c r="J118" s="118"/>
      <c r="K118" s="119"/>
      <c r="L118" s="117"/>
      <c r="M118" s="120"/>
      <c r="N118" s="117"/>
      <c r="O118" s="120"/>
      <c r="P118" s="120"/>
      <c r="Q118" s="117"/>
      <c r="R118" s="121"/>
      <c r="S118" s="121"/>
      <c r="T118" s="121"/>
      <c r="U118" s="121"/>
      <c r="V118" s="121"/>
      <c r="W118" s="122"/>
      <c r="X118" s="122"/>
      <c r="Y118" s="122"/>
      <c r="Z118" s="122"/>
      <c r="AA118" s="122"/>
      <c r="AB118" s="117"/>
    </row>
    <row r="119" spans="1:28" ht="21" customHeight="1" x14ac:dyDescent="0.25">
      <c r="B119" s="7"/>
      <c r="D119" s="7" t="s">
        <v>110</v>
      </c>
      <c r="E119" s="8">
        <v>4</v>
      </c>
      <c r="F119" s="6" t="s">
        <v>84</v>
      </c>
      <c r="G119" s="6" t="s">
        <v>103</v>
      </c>
      <c r="H119" s="108">
        <f>300*23</f>
        <v>6900</v>
      </c>
      <c r="I119" s="108">
        <v>0</v>
      </c>
      <c r="J119" s="108">
        <v>0</v>
      </c>
      <c r="K119" s="109">
        <f t="shared" ref="K119:K182" si="81">+IF(E119=1,(H119-I119-J119),IF(E119=2,(H119-I119-J119),0))</f>
        <v>0</v>
      </c>
      <c r="M119" s="112">
        <v>6</v>
      </c>
      <c r="N119" s="6">
        <f t="shared" si="75"/>
        <v>72</v>
      </c>
      <c r="O119" s="112">
        <v>48</v>
      </c>
      <c r="P119" s="112">
        <v>14</v>
      </c>
      <c r="Q119" s="6">
        <f t="shared" si="47"/>
        <v>80</v>
      </c>
      <c r="R119" s="113">
        <f t="shared" ref="R119:V120" si="82">IFERROR(IF(AND((R$219-$Q119)/$N119&gt;0,(R$219-$Q119)/$N119&lt;1),(R$219-$Q119)/$N119,IF((R$219-$Q119)/$N119&gt;0,1,0)),0)</f>
        <v>0</v>
      </c>
      <c r="S119" s="113">
        <f t="shared" si="82"/>
        <v>0</v>
      </c>
      <c r="T119" s="113">
        <f t="shared" si="82"/>
        <v>0</v>
      </c>
      <c r="U119" s="113">
        <f t="shared" si="82"/>
        <v>0</v>
      </c>
      <c r="V119" s="113">
        <f t="shared" si="82"/>
        <v>0</v>
      </c>
      <c r="W119" s="114">
        <f t="shared" si="21"/>
        <v>0</v>
      </c>
      <c r="X119" s="114">
        <f>S119*($H119-$I119)-W119</f>
        <v>0</v>
      </c>
      <c r="Y119" s="114">
        <f>T119*($H119-$I119)-SUM(W119:X119)</f>
        <v>0</v>
      </c>
      <c r="Z119" s="114">
        <f>U119*($H119-$I119)-SUM(W119:Y119)</f>
        <v>0</v>
      </c>
      <c r="AA119" s="114">
        <f>V119*($H119-$I119)-SUM(W119:Z119)</f>
        <v>0</v>
      </c>
    </row>
    <row r="120" spans="1:28" ht="21" customHeight="1" x14ac:dyDescent="0.25">
      <c r="B120" s="7"/>
      <c r="D120" s="7" t="s">
        <v>111</v>
      </c>
      <c r="E120" s="8">
        <v>4</v>
      </c>
      <c r="F120" s="6" t="s">
        <v>84</v>
      </c>
      <c r="G120" s="6" t="s">
        <v>103</v>
      </c>
      <c r="H120" s="108">
        <v>60000</v>
      </c>
      <c r="I120" s="108">
        <v>0</v>
      </c>
      <c r="J120" s="108">
        <v>0</v>
      </c>
      <c r="K120" s="109">
        <f t="shared" si="81"/>
        <v>0</v>
      </c>
      <c r="M120" s="112">
        <v>4</v>
      </c>
      <c r="N120" s="6">
        <f t="shared" si="75"/>
        <v>48</v>
      </c>
      <c r="O120" s="112">
        <v>60</v>
      </c>
      <c r="P120" s="112">
        <v>16</v>
      </c>
      <c r="Q120" s="6">
        <f t="shared" si="47"/>
        <v>94</v>
      </c>
      <c r="R120" s="113">
        <f t="shared" si="82"/>
        <v>0</v>
      </c>
      <c r="S120" s="113">
        <f t="shared" si="82"/>
        <v>0</v>
      </c>
      <c r="T120" s="113">
        <f t="shared" si="82"/>
        <v>0</v>
      </c>
      <c r="U120" s="113">
        <f t="shared" si="82"/>
        <v>0</v>
      </c>
      <c r="V120" s="113">
        <f t="shared" si="82"/>
        <v>0</v>
      </c>
      <c r="W120" s="114">
        <f t="shared" si="21"/>
        <v>0</v>
      </c>
      <c r="X120" s="114">
        <f>S120*($H120-$I120)-W120</f>
        <v>0</v>
      </c>
      <c r="Y120" s="114">
        <f>T120*($H120-$I120)-SUM(W120:X120)</f>
        <v>0</v>
      </c>
      <c r="Z120" s="114">
        <f>U120*($H120-$I120)-SUM(W120:Y120)</f>
        <v>0</v>
      </c>
      <c r="AA120" s="114">
        <f>V120*($H120-$I120)-SUM(W120:Z120)</f>
        <v>0</v>
      </c>
    </row>
    <row r="121" spans="1:28" s="10" customFormat="1" ht="21" customHeight="1" x14ac:dyDescent="0.25">
      <c r="A121" s="11"/>
      <c r="B121" s="7"/>
      <c r="C121" s="6"/>
      <c r="D121" s="124" t="s">
        <v>112</v>
      </c>
      <c r="E121" s="116">
        <v>5</v>
      </c>
      <c r="F121" s="117" t="s">
        <v>84</v>
      </c>
      <c r="G121" s="117" t="s">
        <v>100</v>
      </c>
      <c r="H121" s="118"/>
      <c r="I121" s="118"/>
      <c r="J121" s="118"/>
      <c r="K121" s="119"/>
      <c r="L121" s="117"/>
      <c r="M121" s="120"/>
      <c r="N121" s="117"/>
      <c r="O121" s="120"/>
      <c r="P121" s="120"/>
      <c r="Q121" s="117"/>
      <c r="R121" s="121"/>
      <c r="S121" s="121"/>
      <c r="T121" s="121"/>
      <c r="U121" s="121"/>
      <c r="V121" s="121"/>
      <c r="W121" s="122"/>
      <c r="X121" s="122"/>
      <c r="Y121" s="122"/>
      <c r="Z121" s="122"/>
      <c r="AA121" s="122"/>
      <c r="AB121" s="117"/>
    </row>
    <row r="122" spans="1:28" ht="21" customHeight="1" x14ac:dyDescent="0.25">
      <c r="B122" s="125"/>
      <c r="D122" s="7" t="s">
        <v>113</v>
      </c>
      <c r="E122" s="8">
        <v>1</v>
      </c>
      <c r="F122" s="6" t="s">
        <v>84</v>
      </c>
      <c r="G122" s="6" t="s">
        <v>100</v>
      </c>
      <c r="H122" s="108">
        <v>36344</v>
      </c>
      <c r="I122" s="108">
        <v>0</v>
      </c>
      <c r="J122" s="108">
        <v>0</v>
      </c>
      <c r="K122" s="109">
        <f t="shared" si="81"/>
        <v>36344</v>
      </c>
      <c r="M122" s="110" t="s">
        <v>305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08">
        <v>0</v>
      </c>
      <c r="X122" s="108">
        <v>3000</v>
      </c>
      <c r="Y122" s="108">
        <v>3000</v>
      </c>
      <c r="Z122" s="108">
        <v>3000</v>
      </c>
      <c r="AA122" s="108">
        <v>3000</v>
      </c>
    </row>
    <row r="123" spans="1:28" ht="21" customHeight="1" x14ac:dyDescent="0.25">
      <c r="B123" s="125"/>
      <c r="D123" s="7" t="s">
        <v>114</v>
      </c>
      <c r="E123" s="8">
        <v>4</v>
      </c>
      <c r="F123" s="6" t="s">
        <v>84</v>
      </c>
      <c r="G123" s="6" t="s">
        <v>100</v>
      </c>
      <c r="H123" s="108">
        <v>113656</v>
      </c>
      <c r="I123" s="108">
        <v>0</v>
      </c>
      <c r="J123" s="108">
        <v>0</v>
      </c>
      <c r="K123" s="109">
        <f t="shared" si="81"/>
        <v>0</v>
      </c>
      <c r="M123" s="141">
        <v>16</v>
      </c>
      <c r="N123" s="6">
        <f t="shared" ref="N123" si="83">+M123*12</f>
        <v>192</v>
      </c>
      <c r="O123" s="112">
        <v>84</v>
      </c>
      <c r="P123" s="112">
        <v>14</v>
      </c>
      <c r="Q123" s="6">
        <f t="shared" ref="Q123" si="84">+O123+P123+18</f>
        <v>116</v>
      </c>
      <c r="R123" s="113">
        <f t="shared" ref="R123:V124" si="85">IFERROR(IF(AND((R$219-$Q123)/$N123&gt;0,(R$219-$Q123)/$N123&lt;1),(R$219-$Q123)/$N123,IF((R$219-$Q123)/$N123&gt;0,1,0)),0)</f>
        <v>0</v>
      </c>
      <c r="S123" s="113">
        <f t="shared" si="85"/>
        <v>0</v>
      </c>
      <c r="T123" s="113">
        <f t="shared" si="85"/>
        <v>0</v>
      </c>
      <c r="U123" s="113">
        <f t="shared" si="85"/>
        <v>0</v>
      </c>
      <c r="V123" s="113">
        <f t="shared" si="85"/>
        <v>0</v>
      </c>
      <c r="W123" s="114">
        <f>R123*($H123-$I123)</f>
        <v>0</v>
      </c>
      <c r="X123" s="114">
        <f t="shared" ref="X123" si="86">S123*($H123-$I123)-W123</f>
        <v>0</v>
      </c>
      <c r="Y123" s="114">
        <f t="shared" ref="Y123" si="87">T123*($H123-$I123)-SUM(W123:X123)</f>
        <v>0</v>
      </c>
      <c r="Z123" s="114">
        <f t="shared" ref="Z123" si="88">U123*($H123-$I123)-SUM(W123:Y123)</f>
        <v>0</v>
      </c>
      <c r="AA123" s="114">
        <f t="shared" ref="AA123" si="89">V123*($H123-$I123)-SUM(W123:Z123)</f>
        <v>0</v>
      </c>
    </row>
    <row r="124" spans="1:28" ht="21" customHeight="1" x14ac:dyDescent="0.25">
      <c r="B124" s="7"/>
      <c r="D124" s="7" t="s">
        <v>115</v>
      </c>
      <c r="E124" s="8">
        <v>3</v>
      </c>
      <c r="F124" s="6" t="s">
        <v>116</v>
      </c>
      <c r="G124" s="6" t="s">
        <v>117</v>
      </c>
      <c r="H124" s="108">
        <v>50000</v>
      </c>
      <c r="I124" s="108">
        <v>0</v>
      </c>
      <c r="J124" s="108">
        <v>0</v>
      </c>
      <c r="K124" s="109">
        <f t="shared" si="81"/>
        <v>0</v>
      </c>
      <c r="M124" s="112">
        <v>6</v>
      </c>
      <c r="N124" s="6">
        <f t="shared" si="75"/>
        <v>72</v>
      </c>
      <c r="O124" s="112">
        <v>48</v>
      </c>
      <c r="P124" s="112">
        <v>16</v>
      </c>
      <c r="Q124" s="6">
        <f t="shared" si="47"/>
        <v>82</v>
      </c>
      <c r="R124" s="113">
        <f t="shared" si="85"/>
        <v>0</v>
      </c>
      <c r="S124" s="113">
        <f t="shared" si="85"/>
        <v>0</v>
      </c>
      <c r="T124" s="113">
        <f t="shared" si="85"/>
        <v>0</v>
      </c>
      <c r="U124" s="113">
        <f t="shared" si="85"/>
        <v>0</v>
      </c>
      <c r="V124" s="113">
        <f t="shared" si="85"/>
        <v>0</v>
      </c>
      <c r="W124" s="114">
        <f t="shared" si="21"/>
        <v>0</v>
      </c>
      <c r="X124" s="114">
        <f>S124*($H124-$I124)-W124</f>
        <v>0</v>
      </c>
      <c r="Y124" s="114">
        <f>T124*($H124-$I124)-SUM(W124:X124)</f>
        <v>0</v>
      </c>
      <c r="Z124" s="114">
        <f>U124*($H124-$I124)-SUM(W124:Y124)</f>
        <v>0</v>
      </c>
      <c r="AA124" s="114">
        <f>V124*($H124-$I124)-SUM(W124:Z124)</f>
        <v>0</v>
      </c>
    </row>
    <row r="125" spans="1:28" ht="21" customHeight="1" x14ac:dyDescent="0.25">
      <c r="B125" s="7"/>
      <c r="D125" s="7" t="s">
        <v>118</v>
      </c>
      <c r="E125" s="8">
        <v>3</v>
      </c>
      <c r="F125" s="6" t="s">
        <v>116</v>
      </c>
      <c r="G125" s="6" t="s">
        <v>117</v>
      </c>
      <c r="H125" s="108">
        <v>0</v>
      </c>
      <c r="I125" s="108">
        <v>0</v>
      </c>
      <c r="J125" s="108">
        <v>0</v>
      </c>
      <c r="K125" s="109">
        <f t="shared" si="81"/>
        <v>0</v>
      </c>
      <c r="M125" s="110" t="s">
        <v>305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08">
        <v>0</v>
      </c>
      <c r="X125" s="108">
        <v>0</v>
      </c>
      <c r="Y125" s="108">
        <v>-7000</v>
      </c>
      <c r="Z125" s="108">
        <v>0</v>
      </c>
      <c r="AA125" s="108">
        <v>0</v>
      </c>
    </row>
    <row r="126" spans="1:28" s="10" customFormat="1" ht="21" customHeight="1" x14ac:dyDescent="0.25">
      <c r="A126" s="11"/>
      <c r="B126" s="123"/>
      <c r="C126" s="6"/>
      <c r="D126" s="124" t="s">
        <v>119</v>
      </c>
      <c r="E126" s="116">
        <v>1</v>
      </c>
      <c r="F126" s="117" t="s">
        <v>116</v>
      </c>
      <c r="G126" s="117" t="s">
        <v>120</v>
      </c>
      <c r="H126" s="118"/>
      <c r="I126" s="118"/>
      <c r="J126" s="118"/>
      <c r="K126" s="119"/>
      <c r="L126" s="117"/>
      <c r="M126" s="120"/>
      <c r="N126" s="117"/>
      <c r="O126" s="120"/>
      <c r="P126" s="120"/>
      <c r="Q126" s="117"/>
      <c r="R126" s="121"/>
      <c r="S126" s="121"/>
      <c r="T126" s="121"/>
      <c r="U126" s="121"/>
      <c r="V126" s="121"/>
      <c r="W126" s="122"/>
      <c r="X126" s="122"/>
      <c r="Y126" s="122"/>
      <c r="Z126" s="122"/>
      <c r="AA126" s="122"/>
      <c r="AB126" s="117"/>
    </row>
    <row r="127" spans="1:28" s="10" customFormat="1" ht="21" customHeight="1" x14ac:dyDescent="0.25">
      <c r="A127" s="11"/>
      <c r="B127" s="123"/>
      <c r="C127" s="6"/>
      <c r="D127" s="124" t="s">
        <v>121</v>
      </c>
      <c r="E127" s="116">
        <v>1</v>
      </c>
      <c r="F127" s="117" t="s">
        <v>116</v>
      </c>
      <c r="G127" s="117" t="s">
        <v>120</v>
      </c>
      <c r="H127" s="118"/>
      <c r="I127" s="118"/>
      <c r="J127" s="118"/>
      <c r="K127" s="119"/>
      <c r="L127" s="117"/>
      <c r="M127" s="120"/>
      <c r="N127" s="117"/>
      <c r="O127" s="120"/>
      <c r="P127" s="120"/>
      <c r="Q127" s="117"/>
      <c r="R127" s="121"/>
      <c r="S127" s="121"/>
      <c r="T127" s="121"/>
      <c r="U127" s="121"/>
      <c r="V127" s="121"/>
      <c r="W127" s="122"/>
      <c r="X127" s="122"/>
      <c r="Y127" s="122"/>
      <c r="Z127" s="122"/>
      <c r="AA127" s="122"/>
      <c r="AB127" s="117"/>
    </row>
    <row r="128" spans="1:28" s="10" customFormat="1" ht="21" customHeight="1" x14ac:dyDescent="0.25">
      <c r="A128" s="11"/>
      <c r="B128" s="7"/>
      <c r="C128" s="6"/>
      <c r="D128" s="124" t="s">
        <v>122</v>
      </c>
      <c r="E128" s="116">
        <v>1</v>
      </c>
      <c r="F128" s="117" t="s">
        <v>116</v>
      </c>
      <c r="G128" s="117" t="s">
        <v>120</v>
      </c>
      <c r="H128" s="118"/>
      <c r="I128" s="118"/>
      <c r="J128" s="118"/>
      <c r="K128" s="119"/>
      <c r="L128" s="117"/>
      <c r="M128" s="120"/>
      <c r="N128" s="117"/>
      <c r="O128" s="120"/>
      <c r="P128" s="120"/>
      <c r="Q128" s="117"/>
      <c r="R128" s="121"/>
      <c r="S128" s="121"/>
      <c r="T128" s="121"/>
      <c r="U128" s="121"/>
      <c r="V128" s="121"/>
      <c r="W128" s="122"/>
      <c r="X128" s="122"/>
      <c r="Y128" s="122"/>
      <c r="Z128" s="122"/>
      <c r="AA128" s="122"/>
      <c r="AB128" s="117"/>
    </row>
    <row r="129" spans="1:28" s="10" customFormat="1" ht="21" customHeight="1" x14ac:dyDescent="0.25">
      <c r="A129" s="11"/>
      <c r="B129" s="7"/>
      <c r="C129" s="6"/>
      <c r="D129" s="124" t="s">
        <v>123</v>
      </c>
      <c r="E129" s="116">
        <v>1</v>
      </c>
      <c r="F129" s="117" t="s">
        <v>116</v>
      </c>
      <c r="G129" s="117" t="s">
        <v>120</v>
      </c>
      <c r="H129" s="118"/>
      <c r="I129" s="118"/>
      <c r="J129" s="118"/>
      <c r="K129" s="119"/>
      <c r="L129" s="117"/>
      <c r="M129" s="120"/>
      <c r="N129" s="117"/>
      <c r="O129" s="120"/>
      <c r="P129" s="120"/>
      <c r="Q129" s="117"/>
      <c r="R129" s="121"/>
      <c r="S129" s="121"/>
      <c r="T129" s="121"/>
      <c r="U129" s="121"/>
      <c r="V129" s="121"/>
      <c r="W129" s="122"/>
      <c r="X129" s="122"/>
      <c r="Y129" s="122"/>
      <c r="Z129" s="122"/>
      <c r="AA129" s="122"/>
      <c r="AB129" s="117"/>
    </row>
    <row r="130" spans="1:28" s="10" customFormat="1" ht="21" customHeight="1" x14ac:dyDescent="0.25">
      <c r="A130" s="11"/>
      <c r="B130" s="7"/>
      <c r="C130" s="6"/>
      <c r="D130" s="124" t="s">
        <v>124</v>
      </c>
      <c r="E130" s="116">
        <v>1</v>
      </c>
      <c r="F130" s="117" t="s">
        <v>116</v>
      </c>
      <c r="G130" s="117" t="s">
        <v>120</v>
      </c>
      <c r="H130" s="118"/>
      <c r="I130" s="118"/>
      <c r="J130" s="118"/>
      <c r="K130" s="119"/>
      <c r="L130" s="117"/>
      <c r="M130" s="120"/>
      <c r="N130" s="117"/>
      <c r="O130" s="120"/>
      <c r="P130" s="120"/>
      <c r="Q130" s="117"/>
      <c r="R130" s="121"/>
      <c r="S130" s="121"/>
      <c r="T130" s="121"/>
      <c r="U130" s="121"/>
      <c r="V130" s="121"/>
      <c r="W130" s="122"/>
      <c r="X130" s="122"/>
      <c r="Y130" s="122"/>
      <c r="Z130" s="122"/>
      <c r="AA130" s="122"/>
      <c r="AB130" s="117"/>
    </row>
    <row r="131" spans="1:28" s="10" customFormat="1" ht="21" customHeight="1" x14ac:dyDescent="0.25">
      <c r="A131" s="11"/>
      <c r="B131" s="123"/>
      <c r="C131" s="6"/>
      <c r="D131" s="124" t="s">
        <v>125</v>
      </c>
      <c r="E131" s="116">
        <v>1</v>
      </c>
      <c r="F131" s="117" t="s">
        <v>116</v>
      </c>
      <c r="G131" s="117" t="s">
        <v>120</v>
      </c>
      <c r="H131" s="118"/>
      <c r="I131" s="118"/>
      <c r="J131" s="118"/>
      <c r="K131" s="119"/>
      <c r="L131" s="117"/>
      <c r="M131" s="120"/>
      <c r="N131" s="117"/>
      <c r="O131" s="120"/>
      <c r="P131" s="120"/>
      <c r="Q131" s="117"/>
      <c r="R131" s="121"/>
      <c r="S131" s="121"/>
      <c r="T131" s="121"/>
      <c r="U131" s="121"/>
      <c r="V131" s="121"/>
      <c r="W131" s="122"/>
      <c r="X131" s="122"/>
      <c r="Y131" s="122"/>
      <c r="Z131" s="122"/>
      <c r="AA131" s="122"/>
      <c r="AB131" s="117"/>
    </row>
    <row r="132" spans="1:28" s="138" customFormat="1" ht="21" customHeight="1" x14ac:dyDescent="0.25">
      <c r="A132" s="11"/>
      <c r="B132" s="123"/>
      <c r="C132" s="6"/>
      <c r="D132" s="132" t="s">
        <v>126</v>
      </c>
      <c r="E132" s="133">
        <v>1</v>
      </c>
      <c r="F132" s="133" t="s">
        <v>116</v>
      </c>
      <c r="G132" s="133" t="s">
        <v>117</v>
      </c>
      <c r="H132" s="134">
        <v>800</v>
      </c>
      <c r="I132" s="134">
        <v>800</v>
      </c>
      <c r="J132" s="134">
        <v>0</v>
      </c>
      <c r="K132" s="134">
        <f t="shared" si="81"/>
        <v>0</v>
      </c>
      <c r="L132" s="135"/>
      <c r="M132" s="133"/>
      <c r="N132" s="133"/>
      <c r="O132" s="133"/>
      <c r="P132" s="133"/>
      <c r="Q132" s="133"/>
      <c r="R132" s="133"/>
      <c r="S132" s="133"/>
      <c r="T132" s="133"/>
      <c r="U132" s="136"/>
      <c r="V132" s="136"/>
      <c r="W132" s="137"/>
      <c r="X132" s="137"/>
      <c r="Y132" s="137"/>
      <c r="Z132" s="137"/>
      <c r="AA132" s="137"/>
      <c r="AB132" s="135"/>
    </row>
    <row r="133" spans="1:28" s="10" customFormat="1" ht="21" customHeight="1" x14ac:dyDescent="0.25">
      <c r="A133" s="11"/>
      <c r="B133" s="7"/>
      <c r="C133" s="6"/>
      <c r="D133" s="124" t="s">
        <v>127</v>
      </c>
      <c r="E133" s="116">
        <v>5</v>
      </c>
      <c r="F133" s="117" t="s">
        <v>116</v>
      </c>
      <c r="G133" s="117" t="s">
        <v>105</v>
      </c>
      <c r="H133" s="118"/>
      <c r="I133" s="118"/>
      <c r="J133" s="118"/>
      <c r="K133" s="119"/>
      <c r="L133" s="117"/>
      <c r="M133" s="120"/>
      <c r="N133" s="117"/>
      <c r="O133" s="120"/>
      <c r="P133" s="120"/>
      <c r="Q133" s="117"/>
      <c r="R133" s="121"/>
      <c r="S133" s="121"/>
      <c r="T133" s="121"/>
      <c r="U133" s="121"/>
      <c r="V133" s="121"/>
      <c r="W133" s="122"/>
      <c r="X133" s="122"/>
      <c r="Y133" s="122"/>
      <c r="Z133" s="122"/>
      <c r="AA133" s="122"/>
      <c r="AB133" s="117"/>
    </row>
    <row r="134" spans="1:28" s="10" customFormat="1" ht="21" customHeight="1" x14ac:dyDescent="0.25">
      <c r="A134" s="11"/>
      <c r="B134" s="7"/>
      <c r="C134" s="6"/>
      <c r="D134" s="124" t="s">
        <v>128</v>
      </c>
      <c r="E134" s="116">
        <v>4</v>
      </c>
      <c r="F134" s="117" t="s">
        <v>116</v>
      </c>
      <c r="G134" s="117" t="s">
        <v>120</v>
      </c>
      <c r="H134" s="118"/>
      <c r="I134" s="118"/>
      <c r="J134" s="118"/>
      <c r="K134" s="119"/>
      <c r="L134" s="117"/>
      <c r="M134" s="120"/>
      <c r="N134" s="117"/>
      <c r="O134" s="120"/>
      <c r="P134" s="120"/>
      <c r="Q134" s="117"/>
      <c r="R134" s="121"/>
      <c r="S134" s="121"/>
      <c r="T134" s="121"/>
      <c r="U134" s="121"/>
      <c r="V134" s="121"/>
      <c r="W134" s="122"/>
      <c r="X134" s="122"/>
      <c r="Y134" s="122"/>
      <c r="Z134" s="122"/>
      <c r="AA134" s="122"/>
      <c r="AB134" s="117"/>
    </row>
    <row r="135" spans="1:28" s="10" customFormat="1" ht="21" customHeight="1" x14ac:dyDescent="0.25">
      <c r="A135" s="11"/>
      <c r="B135" s="7"/>
      <c r="C135" s="6"/>
      <c r="D135" s="124" t="s">
        <v>129</v>
      </c>
      <c r="E135" s="116">
        <v>1</v>
      </c>
      <c r="F135" s="117" t="s">
        <v>116</v>
      </c>
      <c r="G135" s="117" t="s">
        <v>120</v>
      </c>
      <c r="H135" s="118"/>
      <c r="I135" s="118"/>
      <c r="J135" s="118"/>
      <c r="K135" s="119"/>
      <c r="L135" s="117"/>
      <c r="M135" s="120"/>
      <c r="N135" s="117"/>
      <c r="O135" s="120"/>
      <c r="P135" s="120"/>
      <c r="Q135" s="117"/>
      <c r="R135" s="121"/>
      <c r="S135" s="121"/>
      <c r="T135" s="121"/>
      <c r="U135" s="121"/>
      <c r="V135" s="121"/>
      <c r="W135" s="122"/>
      <c r="X135" s="122"/>
      <c r="Y135" s="122"/>
      <c r="Z135" s="122"/>
      <c r="AA135" s="122"/>
      <c r="AB135" s="117"/>
    </row>
    <row r="136" spans="1:28" s="10" customFormat="1" ht="21" customHeight="1" x14ac:dyDescent="0.25">
      <c r="A136" s="11"/>
      <c r="B136" s="7"/>
      <c r="C136" s="6"/>
      <c r="D136" s="124" t="s">
        <v>130</v>
      </c>
      <c r="E136" s="116">
        <v>5</v>
      </c>
      <c r="F136" s="117" t="s">
        <v>116</v>
      </c>
      <c r="G136" s="117" t="s">
        <v>117</v>
      </c>
      <c r="H136" s="118"/>
      <c r="I136" s="118"/>
      <c r="J136" s="118"/>
      <c r="K136" s="119"/>
      <c r="L136" s="117"/>
      <c r="M136" s="120"/>
      <c r="N136" s="117"/>
      <c r="O136" s="120"/>
      <c r="P136" s="120"/>
      <c r="Q136" s="117"/>
      <c r="R136" s="121"/>
      <c r="S136" s="121"/>
      <c r="T136" s="121"/>
      <c r="U136" s="121"/>
      <c r="V136" s="121"/>
      <c r="W136" s="122"/>
      <c r="X136" s="122"/>
      <c r="Y136" s="122"/>
      <c r="Z136" s="122"/>
      <c r="AA136" s="122"/>
      <c r="AB136" s="117"/>
    </row>
    <row r="137" spans="1:28" s="10" customFormat="1" ht="21" customHeight="1" x14ac:dyDescent="0.25">
      <c r="A137" s="11"/>
      <c r="B137" s="11"/>
      <c r="C137" s="11"/>
      <c r="D137" s="124" t="s">
        <v>131</v>
      </c>
      <c r="E137" s="116">
        <v>1</v>
      </c>
      <c r="F137" s="117" t="s">
        <v>116</v>
      </c>
      <c r="G137" s="117" t="s">
        <v>132</v>
      </c>
      <c r="H137" s="118"/>
      <c r="I137" s="118"/>
      <c r="J137" s="118"/>
      <c r="K137" s="119"/>
      <c r="L137" s="117"/>
      <c r="M137" s="120"/>
      <c r="N137" s="117"/>
      <c r="O137" s="120"/>
      <c r="P137" s="120"/>
      <c r="Q137" s="117"/>
      <c r="R137" s="121"/>
      <c r="S137" s="121"/>
      <c r="T137" s="121"/>
      <c r="U137" s="121"/>
      <c r="V137" s="121"/>
      <c r="W137" s="122"/>
      <c r="X137" s="122"/>
      <c r="Y137" s="122"/>
      <c r="Z137" s="122"/>
      <c r="AA137" s="122"/>
      <c r="AB137" s="117"/>
    </row>
    <row r="138" spans="1:28" s="10" customFormat="1" ht="21" customHeight="1" x14ac:dyDescent="0.25">
      <c r="A138" s="11"/>
      <c r="B138" s="7"/>
      <c r="C138" s="6"/>
      <c r="D138" s="124" t="s">
        <v>133</v>
      </c>
      <c r="E138" s="116">
        <v>5</v>
      </c>
      <c r="F138" s="117" t="s">
        <v>116</v>
      </c>
      <c r="G138" s="117" t="s">
        <v>105</v>
      </c>
      <c r="H138" s="118"/>
      <c r="I138" s="118"/>
      <c r="J138" s="118"/>
      <c r="K138" s="119"/>
      <c r="L138" s="117"/>
      <c r="M138" s="120"/>
      <c r="N138" s="117"/>
      <c r="O138" s="120"/>
      <c r="P138" s="120"/>
      <c r="Q138" s="117"/>
      <c r="R138" s="121"/>
      <c r="S138" s="121"/>
      <c r="T138" s="121"/>
      <c r="U138" s="121"/>
      <c r="V138" s="121"/>
      <c r="W138" s="122"/>
      <c r="X138" s="122"/>
      <c r="Y138" s="122"/>
      <c r="Z138" s="122"/>
      <c r="AA138" s="122"/>
      <c r="AB138" s="117"/>
    </row>
    <row r="139" spans="1:28" ht="21" customHeight="1" x14ac:dyDescent="0.25">
      <c r="B139" s="7"/>
      <c r="D139" s="7" t="s">
        <v>134</v>
      </c>
      <c r="E139" s="8">
        <v>4</v>
      </c>
      <c r="F139" s="6" t="s">
        <v>116</v>
      </c>
      <c r="G139" s="6" t="s">
        <v>105</v>
      </c>
      <c r="H139" s="108">
        <f>100*23</f>
        <v>2300</v>
      </c>
      <c r="I139" s="108">
        <v>0</v>
      </c>
      <c r="J139" s="108">
        <v>0</v>
      </c>
      <c r="K139" s="109">
        <f t="shared" si="81"/>
        <v>0</v>
      </c>
      <c r="M139" s="112">
        <v>1.5</v>
      </c>
      <c r="N139" s="6">
        <f t="shared" si="75"/>
        <v>18</v>
      </c>
      <c r="O139" s="112">
        <v>48</v>
      </c>
      <c r="P139" s="112">
        <v>14</v>
      </c>
      <c r="Q139" s="6">
        <f t="shared" ref="Q139:Q195" si="90">+O139+P139+18</f>
        <v>80</v>
      </c>
      <c r="R139" s="113">
        <f t="shared" ref="R139:V140" si="91">IFERROR(IF(AND((R$219-$Q139)/$N139&gt;0,(R$219-$Q139)/$N139&lt;1),(R$219-$Q139)/$N139,IF((R$219-$Q139)/$N139&gt;0,1,0)),0)</f>
        <v>0</v>
      </c>
      <c r="S139" s="113">
        <f t="shared" si="91"/>
        <v>0</v>
      </c>
      <c r="T139" s="113">
        <f t="shared" si="91"/>
        <v>0</v>
      </c>
      <c r="U139" s="113">
        <f t="shared" si="91"/>
        <v>0</v>
      </c>
      <c r="V139" s="113">
        <f t="shared" si="91"/>
        <v>0</v>
      </c>
      <c r="W139" s="114">
        <f>R139*($H139-$I139)</f>
        <v>0</v>
      </c>
      <c r="X139" s="114">
        <f>S139*($H139-$I139)-W139</f>
        <v>0</v>
      </c>
      <c r="Y139" s="114">
        <f>T139*($H139-$I139)-SUM(W139:X139)</f>
        <v>0</v>
      </c>
      <c r="Z139" s="114">
        <f>U139*($H139-$I139)-SUM(W139:Y139)</f>
        <v>0</v>
      </c>
      <c r="AA139" s="114">
        <f>V139*($H139-$I139)-SUM(W139:Z139)</f>
        <v>0</v>
      </c>
    </row>
    <row r="140" spans="1:28" ht="21" customHeight="1" x14ac:dyDescent="0.25">
      <c r="B140" s="7"/>
      <c r="D140" s="7" t="s">
        <v>135</v>
      </c>
      <c r="E140" s="8">
        <v>4</v>
      </c>
      <c r="F140" s="6" t="s">
        <v>116</v>
      </c>
      <c r="G140" s="6" t="s">
        <v>105</v>
      </c>
      <c r="H140" s="108">
        <v>0</v>
      </c>
      <c r="I140" s="108">
        <v>0</v>
      </c>
      <c r="J140" s="108">
        <v>0</v>
      </c>
      <c r="K140" s="109">
        <f t="shared" si="81"/>
        <v>0</v>
      </c>
      <c r="M140" s="112">
        <v>4</v>
      </c>
      <c r="N140" s="6">
        <f t="shared" si="75"/>
        <v>48</v>
      </c>
      <c r="O140" s="112">
        <v>48</v>
      </c>
      <c r="P140" s="112">
        <v>14</v>
      </c>
      <c r="Q140" s="6">
        <f t="shared" si="90"/>
        <v>80</v>
      </c>
      <c r="R140" s="113">
        <f t="shared" si="91"/>
        <v>0</v>
      </c>
      <c r="S140" s="113">
        <f t="shared" si="91"/>
        <v>0</v>
      </c>
      <c r="T140" s="113">
        <f t="shared" si="91"/>
        <v>0</v>
      </c>
      <c r="U140" s="113">
        <f t="shared" si="91"/>
        <v>0</v>
      </c>
      <c r="V140" s="113">
        <f t="shared" si="91"/>
        <v>0</v>
      </c>
      <c r="W140" s="114">
        <f>R140*($H140-$I140)</f>
        <v>0</v>
      </c>
      <c r="X140" s="114">
        <f>S140*($H140-$I140)-W140</f>
        <v>0</v>
      </c>
      <c r="Y140" s="114">
        <f>T140*($H140-$I140)-SUM(W140:X140)</f>
        <v>0</v>
      </c>
      <c r="Z140" s="114">
        <f>U140*($H140-$I140)-SUM(W140:Y140)</f>
        <v>0</v>
      </c>
      <c r="AA140" s="114">
        <f>V140*($H140-$I140)-SUM(W140:Z140)</f>
        <v>0</v>
      </c>
    </row>
    <row r="141" spans="1:28" s="10" customFormat="1" ht="21" customHeight="1" x14ac:dyDescent="0.25">
      <c r="A141" s="11"/>
      <c r="B141" s="7"/>
      <c r="C141" s="6"/>
      <c r="D141" s="124" t="s">
        <v>136</v>
      </c>
      <c r="E141" s="116">
        <v>4</v>
      </c>
      <c r="F141" s="117" t="s">
        <v>116</v>
      </c>
      <c r="G141" s="117" t="s">
        <v>105</v>
      </c>
      <c r="H141" s="118"/>
      <c r="I141" s="118"/>
      <c r="J141" s="118"/>
      <c r="K141" s="119"/>
      <c r="L141" s="117"/>
      <c r="M141" s="120"/>
      <c r="N141" s="117"/>
      <c r="O141" s="120"/>
      <c r="P141" s="120"/>
      <c r="Q141" s="117"/>
      <c r="R141" s="121"/>
      <c r="S141" s="121"/>
      <c r="T141" s="121"/>
      <c r="U141" s="121"/>
      <c r="V141" s="121"/>
      <c r="W141" s="122"/>
      <c r="X141" s="122"/>
      <c r="Y141" s="122"/>
      <c r="Z141" s="122"/>
      <c r="AA141" s="122"/>
      <c r="AB141" s="117"/>
    </row>
    <row r="142" spans="1:28" ht="21" customHeight="1" x14ac:dyDescent="0.25">
      <c r="B142" s="7"/>
      <c r="D142" s="7" t="s">
        <v>137</v>
      </c>
      <c r="E142" s="8">
        <v>3</v>
      </c>
      <c r="F142" s="6" t="s">
        <v>116</v>
      </c>
      <c r="G142" s="6" t="s">
        <v>105</v>
      </c>
      <c r="H142" s="108">
        <v>-4600</v>
      </c>
      <c r="I142" s="108">
        <v>0</v>
      </c>
      <c r="J142" s="108">
        <v>0</v>
      </c>
      <c r="K142" s="109">
        <f t="shared" si="81"/>
        <v>0</v>
      </c>
      <c r="M142" s="110" t="s">
        <v>305</v>
      </c>
      <c r="N142" s="111"/>
      <c r="O142" s="111"/>
      <c r="P142" s="111"/>
      <c r="Q142" s="111"/>
      <c r="R142" s="111"/>
      <c r="S142" s="111"/>
      <c r="T142" s="111"/>
      <c r="U142" s="111"/>
      <c r="V142" s="111"/>
      <c r="W142" s="108">
        <v>0</v>
      </c>
      <c r="X142" s="108">
        <v>0</v>
      </c>
      <c r="Y142" s="108">
        <v>-4600</v>
      </c>
      <c r="Z142" s="108">
        <v>0</v>
      </c>
      <c r="AA142" s="108">
        <v>800</v>
      </c>
    </row>
    <row r="143" spans="1:28" s="10" customFormat="1" ht="21" customHeight="1" x14ac:dyDescent="0.25">
      <c r="A143" s="11"/>
      <c r="B143" s="7"/>
      <c r="C143" s="6"/>
      <c r="D143" s="124" t="s">
        <v>138</v>
      </c>
      <c r="E143" s="116">
        <v>5</v>
      </c>
      <c r="F143" s="117" t="s">
        <v>116</v>
      </c>
      <c r="G143" s="117" t="s">
        <v>105</v>
      </c>
      <c r="H143" s="118"/>
      <c r="I143" s="118"/>
      <c r="J143" s="118"/>
      <c r="K143" s="119"/>
      <c r="L143" s="117"/>
      <c r="M143" s="120"/>
      <c r="N143" s="117"/>
      <c r="O143" s="120"/>
      <c r="P143" s="120"/>
      <c r="Q143" s="117"/>
      <c r="R143" s="121"/>
      <c r="S143" s="121"/>
      <c r="T143" s="121"/>
      <c r="U143" s="121"/>
      <c r="V143" s="121"/>
      <c r="W143" s="122"/>
      <c r="X143" s="122"/>
      <c r="Y143" s="122"/>
      <c r="Z143" s="122"/>
      <c r="AA143" s="122"/>
      <c r="AB143" s="117"/>
    </row>
    <row r="144" spans="1:28" s="10" customFormat="1" ht="21" customHeight="1" x14ac:dyDescent="0.25">
      <c r="A144" s="11"/>
      <c r="B144" s="7"/>
      <c r="C144" s="6"/>
      <c r="D144" s="124" t="s">
        <v>139</v>
      </c>
      <c r="E144" s="116">
        <v>2</v>
      </c>
      <c r="F144" s="117" t="s">
        <v>116</v>
      </c>
      <c r="G144" s="117" t="s">
        <v>105</v>
      </c>
      <c r="H144" s="118"/>
      <c r="I144" s="118"/>
      <c r="J144" s="118"/>
      <c r="K144" s="119"/>
      <c r="L144" s="117"/>
      <c r="M144" s="120"/>
      <c r="N144" s="117"/>
      <c r="O144" s="120"/>
      <c r="P144" s="120"/>
      <c r="Q144" s="117"/>
      <c r="R144" s="121"/>
      <c r="S144" s="121"/>
      <c r="T144" s="121"/>
      <c r="U144" s="121"/>
      <c r="V144" s="121"/>
      <c r="W144" s="122"/>
      <c r="X144" s="122"/>
      <c r="Y144" s="122"/>
      <c r="Z144" s="122"/>
      <c r="AA144" s="122"/>
      <c r="AB144" s="117"/>
    </row>
    <row r="145" spans="1:28" ht="21" customHeight="1" x14ac:dyDescent="0.25">
      <c r="B145" s="125"/>
      <c r="D145" s="7" t="s">
        <v>140</v>
      </c>
      <c r="E145" s="8">
        <v>2</v>
      </c>
      <c r="F145" s="6" t="s">
        <v>116</v>
      </c>
      <c r="G145" s="6" t="s">
        <v>105</v>
      </c>
      <c r="H145" s="108">
        <v>19050</v>
      </c>
      <c r="I145" s="108">
        <v>0</v>
      </c>
      <c r="J145" s="108">
        <v>0</v>
      </c>
      <c r="K145" s="109">
        <f t="shared" si="81"/>
        <v>19050</v>
      </c>
      <c r="M145" s="112">
        <v>8</v>
      </c>
      <c r="N145" s="6">
        <f t="shared" si="75"/>
        <v>96</v>
      </c>
      <c r="O145" s="112">
        <v>48</v>
      </c>
      <c r="P145" s="112">
        <v>12</v>
      </c>
      <c r="Q145" s="6">
        <f t="shared" si="90"/>
        <v>78</v>
      </c>
      <c r="R145" s="113">
        <f>IFERROR(IF(AND((R$219-$Q145)/$N145&gt;0,(R$219-$Q145)/$N145&lt;1),(R$219-$Q145)/$N145,IF((R$219-$Q145)/$N145&gt;0,1,0)),0)</f>
        <v>0</v>
      </c>
      <c r="S145" s="113">
        <f>IFERROR(IF(AND((S$219-$Q145)/$N145&gt;0,(S$219-$Q145)/$N145&lt;1),(S$219-$Q145)/$N145,IF((S$219-$Q145)/$N145&gt;0,1,0)),0)</f>
        <v>0</v>
      </c>
      <c r="T145" s="113">
        <f>IFERROR(IF(AND((T$219-$Q145)/$N145&gt;0,(T$219-$Q145)/$N145&lt;1),(T$219-$Q145)/$N145,IF((T$219-$Q145)/$N145&gt;0,1,0)),0)</f>
        <v>0</v>
      </c>
      <c r="U145" s="113">
        <f>IFERROR(IF(AND((U$219-$Q145)/$N145&gt;0,(U$219-$Q145)/$N145&lt;1),(U$219-$Q145)/$N145,IF((U$219-$Q145)/$N145&gt;0,1,0)),0)</f>
        <v>0</v>
      </c>
      <c r="V145" s="113">
        <f>IFERROR(IF(AND((V$219-$Q145)/$N145&gt;0,(V$219-$Q145)/$N145&lt;1),(V$219-$Q145)/$N145,IF((V$219-$Q145)/$N145&gt;0,1,0)),0)</f>
        <v>0</v>
      </c>
      <c r="W145" s="114">
        <f>R145*($H145-$I145)</f>
        <v>0</v>
      </c>
      <c r="X145" s="114">
        <f>S145*($H145-$I145)-W145</f>
        <v>0</v>
      </c>
      <c r="Y145" s="114">
        <f>T145*($H145-$I145)-SUM(W145:X145)</f>
        <v>0</v>
      </c>
      <c r="Z145" s="114">
        <f>U145*($H145-$I145)-SUM(W145:Y145)</f>
        <v>0</v>
      </c>
      <c r="AA145" s="114">
        <f>V145*($H145-$I145)-SUM(W145:Z145)</f>
        <v>0</v>
      </c>
    </row>
    <row r="146" spans="1:28" ht="21" customHeight="1" x14ac:dyDescent="0.25">
      <c r="B146" s="7"/>
      <c r="D146" s="7" t="s">
        <v>141</v>
      </c>
      <c r="E146" s="8">
        <v>3</v>
      </c>
      <c r="F146" s="6" t="s">
        <v>142</v>
      </c>
      <c r="G146" s="6" t="s">
        <v>142</v>
      </c>
      <c r="H146" s="108">
        <v>50000</v>
      </c>
      <c r="I146" s="108">
        <v>0</v>
      </c>
      <c r="J146" s="108">
        <v>0</v>
      </c>
      <c r="K146" s="109">
        <f t="shared" si="81"/>
        <v>0</v>
      </c>
      <c r="M146" s="110" t="s">
        <v>305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08">
        <v>0</v>
      </c>
      <c r="X146" s="108">
        <v>-3600</v>
      </c>
      <c r="Y146" s="108">
        <v>0</v>
      </c>
      <c r="Z146" s="108">
        <v>-3400</v>
      </c>
      <c r="AA146" s="108">
        <v>1000</v>
      </c>
    </row>
    <row r="147" spans="1:28" ht="21" customHeight="1" x14ac:dyDescent="0.25">
      <c r="B147" s="7"/>
      <c r="D147" s="7" t="s">
        <v>143</v>
      </c>
      <c r="E147" s="8">
        <v>3</v>
      </c>
      <c r="F147" s="6" t="s">
        <v>142</v>
      </c>
      <c r="G147" s="6" t="s">
        <v>142</v>
      </c>
      <c r="H147" s="108">
        <v>10000</v>
      </c>
      <c r="I147" s="108">
        <v>0</v>
      </c>
      <c r="J147" s="108">
        <v>0</v>
      </c>
      <c r="K147" s="109">
        <f t="shared" si="81"/>
        <v>0</v>
      </c>
      <c r="M147" s="110" t="s">
        <v>305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08">
        <v>0</v>
      </c>
      <c r="X147" s="108">
        <v>0</v>
      </c>
      <c r="Y147" s="108">
        <v>0</v>
      </c>
      <c r="Z147" s="108">
        <v>0</v>
      </c>
      <c r="AA147" s="108">
        <v>4000</v>
      </c>
    </row>
    <row r="148" spans="1:28" ht="21" customHeight="1" x14ac:dyDescent="0.25">
      <c r="B148" s="7"/>
      <c r="D148" s="7" t="s">
        <v>144</v>
      </c>
      <c r="E148" s="8">
        <v>4</v>
      </c>
      <c r="F148" s="6" t="s">
        <v>142</v>
      </c>
      <c r="G148" s="6" t="s">
        <v>142</v>
      </c>
      <c r="H148" s="108">
        <v>0</v>
      </c>
      <c r="I148" s="108">
        <v>0</v>
      </c>
      <c r="J148" s="108">
        <v>0</v>
      </c>
      <c r="K148" s="109">
        <f t="shared" si="81"/>
        <v>0</v>
      </c>
      <c r="M148" s="112">
        <v>10</v>
      </c>
      <c r="N148" s="6">
        <f t="shared" si="75"/>
        <v>120</v>
      </c>
      <c r="O148" s="112">
        <v>48</v>
      </c>
      <c r="P148" s="112">
        <v>16</v>
      </c>
      <c r="Q148" s="6">
        <f t="shared" si="90"/>
        <v>82</v>
      </c>
      <c r="R148" s="113">
        <f>IFERROR(IF(AND((R$219-$Q148)/$N148&gt;0,(R$219-$Q148)/$N148&lt;1),(R$219-$Q148)/$N148,IF((R$219-$Q148)/$N148&gt;0,1,0)),0)</f>
        <v>0</v>
      </c>
      <c r="S148" s="113">
        <f>IFERROR(IF(AND((S$219-$Q148)/$N148&gt;0,(S$219-$Q148)/$N148&lt;1),(S$219-$Q148)/$N148,IF((S$219-$Q148)/$N148&gt;0,1,0)),0)</f>
        <v>0</v>
      </c>
      <c r="T148" s="113">
        <f>IFERROR(IF(AND((T$219-$Q148)/$N148&gt;0,(T$219-$Q148)/$N148&lt;1),(T$219-$Q148)/$N148,IF((T$219-$Q148)/$N148&gt;0,1,0)),0)</f>
        <v>0</v>
      </c>
      <c r="U148" s="113">
        <f>IFERROR(IF(AND((U$219-$Q148)/$N148&gt;0,(U$219-$Q148)/$N148&lt;1),(U$219-$Q148)/$N148,IF((U$219-$Q148)/$N148&gt;0,1,0)),0)</f>
        <v>0</v>
      </c>
      <c r="V148" s="113">
        <f>IFERROR(IF(AND((V$219-$Q148)/$N148&gt;0,(V$219-$Q148)/$N148&lt;1),(V$219-$Q148)/$N148,IF((V$219-$Q148)/$N148&gt;0,1,0)),0)</f>
        <v>0</v>
      </c>
      <c r="W148" s="114">
        <f>R148*($H148-$I148)</f>
        <v>0</v>
      </c>
      <c r="X148" s="114">
        <f>S148*($H148-$I148)-W148</f>
        <v>0</v>
      </c>
      <c r="Y148" s="114">
        <f>T148*($H148-$I148)-SUM(W148:X148)</f>
        <v>0</v>
      </c>
      <c r="Z148" s="114">
        <f>U148*($H148-$I148)-SUM(W148:Y148)</f>
        <v>0</v>
      </c>
      <c r="AA148" s="114">
        <f>V148*($H148-$I148)-SUM(W148:Z148)</f>
        <v>0</v>
      </c>
    </row>
    <row r="149" spans="1:28" s="10" customFormat="1" ht="21" customHeight="1" x14ac:dyDescent="0.25">
      <c r="A149" s="115"/>
      <c r="B149" s="7"/>
      <c r="C149" s="6"/>
      <c r="D149" s="124" t="s">
        <v>145</v>
      </c>
      <c r="E149" s="116">
        <v>1</v>
      </c>
      <c r="F149" s="117" t="s">
        <v>142</v>
      </c>
      <c r="G149" s="117" t="s">
        <v>142</v>
      </c>
      <c r="H149" s="118"/>
      <c r="I149" s="118"/>
      <c r="J149" s="118"/>
      <c r="K149" s="119"/>
      <c r="L149" s="117"/>
      <c r="M149" s="120"/>
      <c r="N149" s="117"/>
      <c r="O149" s="120"/>
      <c r="P149" s="120"/>
      <c r="Q149" s="117"/>
      <c r="R149" s="121"/>
      <c r="S149" s="121"/>
      <c r="T149" s="121"/>
      <c r="U149" s="121"/>
      <c r="V149" s="121"/>
      <c r="W149" s="122"/>
      <c r="X149" s="122"/>
      <c r="Y149" s="122"/>
      <c r="Z149" s="122"/>
      <c r="AA149" s="122"/>
      <c r="AB149" s="117"/>
    </row>
    <row r="150" spans="1:28" ht="21" customHeight="1" x14ac:dyDescent="0.25">
      <c r="B150" s="7"/>
      <c r="D150" s="7" t="s">
        <v>146</v>
      </c>
      <c r="E150" s="8">
        <v>3</v>
      </c>
      <c r="F150" s="6" t="s">
        <v>142</v>
      </c>
      <c r="G150" s="6" t="s">
        <v>142</v>
      </c>
      <c r="H150" s="108">
        <v>0</v>
      </c>
      <c r="I150" s="108">
        <v>0</v>
      </c>
      <c r="J150" s="108">
        <v>0</v>
      </c>
      <c r="K150" s="109">
        <f t="shared" si="81"/>
        <v>0</v>
      </c>
      <c r="M150" s="112">
        <v>12</v>
      </c>
      <c r="N150" s="6">
        <f t="shared" si="75"/>
        <v>144</v>
      </c>
      <c r="O150" s="112">
        <v>24</v>
      </c>
      <c r="P150" s="112">
        <v>16</v>
      </c>
      <c r="Q150" s="6">
        <f t="shared" si="90"/>
        <v>58</v>
      </c>
      <c r="R150" s="113">
        <f>IFERROR(IF(AND((R$219-$Q150)/$N150&gt;0,(R$219-$Q150)/$N150&lt;1),(R$219-$Q150)/$N150,IF((R$219-$Q150)/$N150&gt;0,1,0)),0)</f>
        <v>0</v>
      </c>
      <c r="S150" s="113">
        <f>IFERROR(IF(AND((S$219-$Q150)/$N150&gt;0,(S$219-$Q150)/$N150&lt;1),(S$219-$Q150)/$N150,IF((S$219-$Q150)/$N150&gt;0,1,0)),0)</f>
        <v>0</v>
      </c>
      <c r="T150" s="113">
        <f>IFERROR(IF(AND((T$219-$Q150)/$N150&gt;0,(T$219-$Q150)/$N150&lt;1),(T$219-$Q150)/$N150,IF((T$219-$Q150)/$N150&gt;0,1,0)),0)</f>
        <v>0</v>
      </c>
      <c r="U150" s="113">
        <f>IFERROR(IF(AND((U$219-$Q150)/$N150&gt;0,(U$219-$Q150)/$N150&lt;1),(U$219-$Q150)/$N150,IF((U$219-$Q150)/$N150&gt;0,1,0)),0)</f>
        <v>0</v>
      </c>
      <c r="V150" s="113">
        <f>IFERROR(IF(AND((V$219-$Q150)/$N150&gt;0,(V$219-$Q150)/$N150&lt;1),(V$219-$Q150)/$N150,IF((V$219-$Q150)/$N150&gt;0,1,0)),0)</f>
        <v>0</v>
      </c>
      <c r="W150" s="114">
        <f>R150*($H150-$I150)</f>
        <v>0</v>
      </c>
      <c r="X150" s="114">
        <f>S150*($H150-$I150)-W150</f>
        <v>0</v>
      </c>
      <c r="Y150" s="114">
        <f>T150*($H150-$I150)-SUM(W150:X150)</f>
        <v>0</v>
      </c>
      <c r="Z150" s="114">
        <f>U150*($H150-$I150)-SUM(W150:Y150)</f>
        <v>0</v>
      </c>
      <c r="AA150" s="114">
        <f>V150*($H150-$I150)-SUM(W150:Z150)</f>
        <v>0</v>
      </c>
    </row>
    <row r="151" spans="1:28" s="10" customFormat="1" ht="21" customHeight="1" x14ac:dyDescent="0.25">
      <c r="A151" s="142"/>
      <c r="B151" s="7"/>
      <c r="C151" s="6"/>
      <c r="D151" s="124" t="s">
        <v>147</v>
      </c>
      <c r="E151" s="116">
        <v>5</v>
      </c>
      <c r="F151" s="117" t="s">
        <v>142</v>
      </c>
      <c r="G151" s="117" t="s">
        <v>142</v>
      </c>
      <c r="H151" s="118"/>
      <c r="I151" s="118"/>
      <c r="J151" s="118"/>
      <c r="K151" s="119"/>
      <c r="L151" s="117"/>
      <c r="M151" s="120"/>
      <c r="N151" s="117"/>
      <c r="O151" s="120"/>
      <c r="P151" s="120"/>
      <c r="Q151" s="117"/>
      <c r="R151" s="121"/>
      <c r="S151" s="121"/>
      <c r="T151" s="121"/>
      <c r="U151" s="121"/>
      <c r="V151" s="121"/>
      <c r="W151" s="122"/>
      <c r="X151" s="122"/>
      <c r="Y151" s="122"/>
      <c r="Z151" s="122"/>
      <c r="AA151" s="122"/>
      <c r="AB151" s="117"/>
    </row>
    <row r="152" spans="1:28" ht="21" customHeight="1" x14ac:dyDescent="0.25">
      <c r="A152" s="142"/>
      <c r="B152" s="125"/>
      <c r="D152" s="372" t="s">
        <v>148</v>
      </c>
      <c r="E152" s="8">
        <v>2</v>
      </c>
      <c r="F152" s="6" t="s">
        <v>142</v>
      </c>
      <c r="G152" s="6" t="s">
        <v>142</v>
      </c>
      <c r="H152" s="108">
        <v>10000</v>
      </c>
      <c r="I152" s="108">
        <v>0</v>
      </c>
      <c r="J152" s="108">
        <v>0</v>
      </c>
      <c r="K152" s="109">
        <f t="shared" ref="K152:K154" si="92">+IF(E152=1,(H152-I152-J152),IF(E152=2,(H152-I152-J152),0))</f>
        <v>10000</v>
      </c>
      <c r="M152" s="141">
        <v>10</v>
      </c>
      <c r="N152" s="6">
        <f>+M152*12</f>
        <v>120</v>
      </c>
      <c r="O152" s="112">
        <v>24</v>
      </c>
      <c r="P152" s="112">
        <v>14</v>
      </c>
      <c r="Q152" s="6">
        <f>+O152+P152+18</f>
        <v>56</v>
      </c>
      <c r="R152" s="113">
        <f t="shared" ref="R152:V154" si="93">IFERROR(IF(AND((R$219-$Q152)/$N152&gt;0,(R$219-$Q152)/$N152&lt;1),(R$219-$Q152)/$N152,IF((R$219-$Q152)/$N152&gt;0,1,0)),0)</f>
        <v>0</v>
      </c>
      <c r="S152" s="113">
        <f t="shared" si="93"/>
        <v>0</v>
      </c>
      <c r="T152" s="113">
        <f t="shared" si="93"/>
        <v>0</v>
      </c>
      <c r="U152" s="113">
        <f t="shared" si="93"/>
        <v>0</v>
      </c>
      <c r="V152" s="113">
        <f t="shared" si="93"/>
        <v>0</v>
      </c>
      <c r="W152" s="114">
        <f>R152*($H152-$I152)</f>
        <v>0</v>
      </c>
      <c r="X152" s="114">
        <f>S152*($H152-$I152)-W152</f>
        <v>0</v>
      </c>
      <c r="Y152" s="114">
        <f>T152*($H152-$I152)-SUM(W152:X152)</f>
        <v>0</v>
      </c>
      <c r="Z152" s="114">
        <f>U152*($H152-$I152)-SUM(W152:Y152)</f>
        <v>0</v>
      </c>
      <c r="AA152" s="114">
        <f>V152*($H152-$I152)-SUM(W152:Z152)</f>
        <v>0</v>
      </c>
    </row>
    <row r="153" spans="1:28" ht="21" customHeight="1" x14ac:dyDescent="0.25">
      <c r="A153" s="142"/>
      <c r="B153" s="125"/>
      <c r="D153" s="372" t="s">
        <v>149</v>
      </c>
      <c r="E153" s="8">
        <v>2</v>
      </c>
      <c r="F153" s="6" t="s">
        <v>142</v>
      </c>
      <c r="G153" s="6" t="s">
        <v>142</v>
      </c>
      <c r="H153" s="108">
        <v>8955</v>
      </c>
      <c r="I153" s="108">
        <v>0</v>
      </c>
      <c r="J153" s="108">
        <v>0</v>
      </c>
      <c r="K153" s="109">
        <f t="shared" si="92"/>
        <v>8955</v>
      </c>
      <c r="M153" s="141">
        <v>10</v>
      </c>
      <c r="N153" s="6">
        <f>+M153*12</f>
        <v>120</v>
      </c>
      <c r="O153" s="112">
        <v>24</v>
      </c>
      <c r="P153" s="112">
        <v>14</v>
      </c>
      <c r="Q153" s="6">
        <f>+O153+P153+18</f>
        <v>56</v>
      </c>
      <c r="R153" s="113">
        <f t="shared" si="93"/>
        <v>0</v>
      </c>
      <c r="S153" s="113">
        <f t="shared" si="93"/>
        <v>0</v>
      </c>
      <c r="T153" s="113">
        <f t="shared" si="93"/>
        <v>0</v>
      </c>
      <c r="U153" s="113">
        <f t="shared" si="93"/>
        <v>0</v>
      </c>
      <c r="V153" s="113">
        <f t="shared" si="93"/>
        <v>0</v>
      </c>
      <c r="W153" s="114">
        <f>R153*($H153-$I153)</f>
        <v>0</v>
      </c>
      <c r="X153" s="114">
        <f>S153*($H153-$I153)-W153</f>
        <v>0</v>
      </c>
      <c r="Y153" s="114">
        <f>T153*($H153-$I153)-SUM(W153:X153)</f>
        <v>0</v>
      </c>
      <c r="Z153" s="114">
        <f>U153*($H153-$I153)-SUM(W153:Y153)</f>
        <v>0</v>
      </c>
      <c r="AA153" s="114">
        <f>V153*($H153-$I153)-SUM(W153:Z153)</f>
        <v>0</v>
      </c>
    </row>
    <row r="154" spans="1:28" ht="21" customHeight="1" x14ac:dyDescent="0.25">
      <c r="A154" s="142"/>
      <c r="B154" s="125"/>
      <c r="D154" s="372" t="s">
        <v>150</v>
      </c>
      <c r="E154" s="8">
        <v>5</v>
      </c>
      <c r="F154" s="6" t="s">
        <v>142</v>
      </c>
      <c r="G154" s="6" t="s">
        <v>142</v>
      </c>
      <c r="H154" s="108">
        <v>70000</v>
      </c>
      <c r="I154" s="108">
        <v>0</v>
      </c>
      <c r="J154" s="108">
        <v>0</v>
      </c>
      <c r="K154" s="109">
        <f t="shared" si="92"/>
        <v>0</v>
      </c>
      <c r="M154" s="112">
        <v>11</v>
      </c>
      <c r="N154" s="6">
        <f>+M154*12</f>
        <v>132</v>
      </c>
      <c r="O154" s="112">
        <v>24</v>
      </c>
      <c r="P154" s="112">
        <v>14</v>
      </c>
      <c r="Q154" s="6">
        <f>+O154+P154+18</f>
        <v>56</v>
      </c>
      <c r="R154" s="113">
        <f t="shared" si="93"/>
        <v>0</v>
      </c>
      <c r="S154" s="113">
        <f t="shared" si="93"/>
        <v>0</v>
      </c>
      <c r="T154" s="113">
        <f t="shared" si="93"/>
        <v>0</v>
      </c>
      <c r="U154" s="113">
        <f t="shared" si="93"/>
        <v>0</v>
      </c>
      <c r="V154" s="113">
        <f t="shared" si="93"/>
        <v>0</v>
      </c>
      <c r="W154" s="114">
        <f>R154*($H154-$I154)</f>
        <v>0</v>
      </c>
      <c r="X154" s="114">
        <f>S154*($H154-$I154)-W154</f>
        <v>0</v>
      </c>
      <c r="Y154" s="114">
        <f>T154*($H154-$I154)-SUM(W154:X154)</f>
        <v>0</v>
      </c>
      <c r="Z154" s="114">
        <f>U154*($H154-$I154)-SUM(W154:Y154)</f>
        <v>0</v>
      </c>
      <c r="AA154" s="114">
        <f>V154*($H154-$I154)-SUM(W154:Z154)</f>
        <v>0</v>
      </c>
    </row>
    <row r="155" spans="1:28" s="10" customFormat="1" ht="21" customHeight="1" x14ac:dyDescent="0.25">
      <c r="A155" s="11"/>
      <c r="B155" s="7"/>
      <c r="C155" s="6"/>
      <c r="D155" s="124" t="s">
        <v>151</v>
      </c>
      <c r="E155" s="116">
        <v>4</v>
      </c>
      <c r="F155" s="117" t="s">
        <v>152</v>
      </c>
      <c r="G155" s="117" t="s">
        <v>153</v>
      </c>
      <c r="H155" s="118"/>
      <c r="I155" s="118"/>
      <c r="J155" s="118"/>
      <c r="K155" s="119"/>
      <c r="L155" s="117"/>
      <c r="M155" s="120"/>
      <c r="N155" s="117"/>
      <c r="O155" s="120"/>
      <c r="P155" s="120"/>
      <c r="Q155" s="117"/>
      <c r="R155" s="121"/>
      <c r="S155" s="121"/>
      <c r="T155" s="121"/>
      <c r="U155" s="121"/>
      <c r="V155" s="121"/>
      <c r="W155" s="122"/>
      <c r="X155" s="122"/>
      <c r="Y155" s="122"/>
      <c r="Z155" s="122"/>
      <c r="AA155" s="122"/>
      <c r="AB155" s="117"/>
    </row>
    <row r="156" spans="1:28" s="10" customFormat="1" ht="21" customHeight="1" x14ac:dyDescent="0.25">
      <c r="A156" s="11"/>
      <c r="B156" s="7"/>
      <c r="C156" s="6"/>
      <c r="D156" s="124" t="s">
        <v>154</v>
      </c>
      <c r="E156" s="116">
        <v>5</v>
      </c>
      <c r="F156" s="117" t="s">
        <v>152</v>
      </c>
      <c r="G156" s="117" t="s">
        <v>153</v>
      </c>
      <c r="H156" s="118"/>
      <c r="I156" s="118"/>
      <c r="J156" s="118"/>
      <c r="K156" s="119"/>
      <c r="L156" s="117"/>
      <c r="M156" s="120"/>
      <c r="N156" s="117"/>
      <c r="O156" s="120"/>
      <c r="P156" s="120"/>
      <c r="Q156" s="117"/>
      <c r="R156" s="121"/>
      <c r="S156" s="121"/>
      <c r="T156" s="121"/>
      <c r="U156" s="121"/>
      <c r="V156" s="121"/>
      <c r="W156" s="122"/>
      <c r="X156" s="122"/>
      <c r="Y156" s="122"/>
      <c r="Z156" s="122"/>
      <c r="AA156" s="122"/>
      <c r="AB156" s="117"/>
    </row>
    <row r="157" spans="1:28" s="10" customFormat="1" ht="21" customHeight="1" x14ac:dyDescent="0.25">
      <c r="A157" s="11"/>
      <c r="B157" s="7"/>
      <c r="C157" s="6"/>
      <c r="D157" s="124" t="s">
        <v>155</v>
      </c>
      <c r="E157" s="116">
        <v>5</v>
      </c>
      <c r="F157" s="117" t="s">
        <v>152</v>
      </c>
      <c r="G157" s="117" t="s">
        <v>153</v>
      </c>
      <c r="H157" s="118"/>
      <c r="I157" s="118"/>
      <c r="J157" s="118"/>
      <c r="K157" s="119"/>
      <c r="L157" s="117"/>
      <c r="M157" s="120"/>
      <c r="N157" s="117"/>
      <c r="O157" s="120"/>
      <c r="P157" s="120"/>
      <c r="Q157" s="117"/>
      <c r="R157" s="121"/>
      <c r="S157" s="121"/>
      <c r="T157" s="121"/>
      <c r="U157" s="121"/>
      <c r="V157" s="121"/>
      <c r="W157" s="122"/>
      <c r="X157" s="122"/>
      <c r="Y157" s="122"/>
      <c r="Z157" s="122"/>
      <c r="AA157" s="122"/>
      <c r="AB157" s="117"/>
    </row>
    <row r="158" spans="1:28" s="10" customFormat="1" ht="21" customHeight="1" x14ac:dyDescent="0.25">
      <c r="A158" s="11"/>
      <c r="B158" s="7"/>
      <c r="C158" s="6"/>
      <c r="D158" s="124" t="s">
        <v>156</v>
      </c>
      <c r="E158" s="116">
        <v>2</v>
      </c>
      <c r="F158" s="117" t="s">
        <v>152</v>
      </c>
      <c r="G158" s="117" t="s">
        <v>157</v>
      </c>
      <c r="H158" s="118"/>
      <c r="I158" s="118"/>
      <c r="J158" s="118"/>
      <c r="K158" s="119"/>
      <c r="L158" s="117"/>
      <c r="M158" s="120"/>
      <c r="N158" s="117"/>
      <c r="O158" s="120"/>
      <c r="P158" s="120"/>
      <c r="Q158" s="117"/>
      <c r="R158" s="121"/>
      <c r="S158" s="121"/>
      <c r="T158" s="121"/>
      <c r="U158" s="121"/>
      <c r="V158" s="121"/>
      <c r="W158" s="122"/>
      <c r="X158" s="122"/>
      <c r="Y158" s="122"/>
      <c r="Z158" s="122"/>
      <c r="AA158" s="122"/>
      <c r="AB158" s="117"/>
    </row>
    <row r="159" spans="1:28" s="10" customFormat="1" ht="21" customHeight="1" x14ac:dyDescent="0.25">
      <c r="A159" s="11"/>
      <c r="B159" s="7"/>
      <c r="C159" s="6"/>
      <c r="D159" s="124" t="s">
        <v>158</v>
      </c>
      <c r="E159" s="116">
        <v>1</v>
      </c>
      <c r="F159" s="117" t="s">
        <v>152</v>
      </c>
      <c r="G159" s="117" t="s">
        <v>157</v>
      </c>
      <c r="H159" s="118"/>
      <c r="I159" s="118"/>
      <c r="J159" s="118"/>
      <c r="K159" s="119"/>
      <c r="L159" s="117"/>
      <c r="M159" s="120"/>
      <c r="N159" s="117"/>
      <c r="O159" s="120"/>
      <c r="P159" s="120"/>
      <c r="Q159" s="117"/>
      <c r="R159" s="121"/>
      <c r="S159" s="121"/>
      <c r="T159" s="121"/>
      <c r="U159" s="121"/>
      <c r="V159" s="121"/>
      <c r="W159" s="122"/>
      <c r="X159" s="122"/>
      <c r="Y159" s="122"/>
      <c r="Z159" s="122"/>
      <c r="AA159" s="122"/>
      <c r="AB159" s="117"/>
    </row>
    <row r="160" spans="1:28" s="10" customFormat="1" ht="21" customHeight="1" x14ac:dyDescent="0.25">
      <c r="A160" s="11"/>
      <c r="B160" s="7"/>
      <c r="C160" s="6"/>
      <c r="D160" s="124" t="s">
        <v>159</v>
      </c>
      <c r="E160" s="116">
        <v>1</v>
      </c>
      <c r="F160" s="117" t="s">
        <v>152</v>
      </c>
      <c r="G160" s="117" t="s">
        <v>157</v>
      </c>
      <c r="H160" s="118"/>
      <c r="I160" s="118"/>
      <c r="J160" s="118"/>
      <c r="K160" s="119"/>
      <c r="L160" s="117"/>
      <c r="M160" s="120"/>
      <c r="N160" s="117"/>
      <c r="O160" s="120"/>
      <c r="P160" s="120"/>
      <c r="Q160" s="117"/>
      <c r="R160" s="121"/>
      <c r="S160" s="121"/>
      <c r="T160" s="121"/>
      <c r="U160" s="121"/>
      <c r="V160" s="121"/>
      <c r="W160" s="122"/>
      <c r="X160" s="122"/>
      <c r="Y160" s="122"/>
      <c r="Z160" s="122"/>
      <c r="AA160" s="122"/>
      <c r="AB160" s="117"/>
    </row>
    <row r="161" spans="1:28" s="10" customFormat="1" ht="21" customHeight="1" x14ac:dyDescent="0.25">
      <c r="A161" s="11"/>
      <c r="B161" s="7"/>
      <c r="C161" s="6"/>
      <c r="D161" s="124" t="s">
        <v>160</v>
      </c>
      <c r="E161" s="116">
        <v>1</v>
      </c>
      <c r="F161" s="117" t="s">
        <v>152</v>
      </c>
      <c r="G161" s="117" t="s">
        <v>157</v>
      </c>
      <c r="H161" s="118"/>
      <c r="I161" s="118"/>
      <c r="J161" s="118"/>
      <c r="K161" s="119"/>
      <c r="L161" s="117"/>
      <c r="M161" s="120"/>
      <c r="N161" s="117"/>
      <c r="O161" s="120"/>
      <c r="P161" s="120"/>
      <c r="Q161" s="117"/>
      <c r="R161" s="121"/>
      <c r="S161" s="121"/>
      <c r="T161" s="121"/>
      <c r="U161" s="121"/>
      <c r="V161" s="121"/>
      <c r="W161" s="122"/>
      <c r="X161" s="122"/>
      <c r="Y161" s="122"/>
      <c r="Z161" s="122"/>
      <c r="AA161" s="122"/>
      <c r="AB161" s="117"/>
    </row>
    <row r="162" spans="1:28" s="10" customFormat="1" ht="21" customHeight="1" x14ac:dyDescent="0.25">
      <c r="A162" s="11"/>
      <c r="B162" s="7"/>
      <c r="C162" s="6"/>
      <c r="D162" s="124" t="s">
        <v>161</v>
      </c>
      <c r="E162" s="116">
        <v>5</v>
      </c>
      <c r="F162" s="117" t="s">
        <v>152</v>
      </c>
      <c r="G162" s="117" t="s">
        <v>162</v>
      </c>
      <c r="H162" s="118"/>
      <c r="I162" s="118"/>
      <c r="J162" s="118"/>
      <c r="K162" s="119"/>
      <c r="L162" s="117"/>
      <c r="M162" s="120"/>
      <c r="N162" s="117"/>
      <c r="O162" s="120"/>
      <c r="P162" s="120"/>
      <c r="Q162" s="117"/>
      <c r="R162" s="121"/>
      <c r="S162" s="121"/>
      <c r="T162" s="121"/>
      <c r="U162" s="121"/>
      <c r="V162" s="121"/>
      <c r="W162" s="122"/>
      <c r="X162" s="122"/>
      <c r="Y162" s="122"/>
      <c r="Z162" s="122"/>
      <c r="AA162" s="122"/>
      <c r="AB162" s="117"/>
    </row>
    <row r="163" spans="1:28" s="10" customFormat="1" ht="21" customHeight="1" x14ac:dyDescent="0.25">
      <c r="A163" s="11"/>
      <c r="B163" s="7"/>
      <c r="C163" s="6"/>
      <c r="D163" s="124" t="s">
        <v>163</v>
      </c>
      <c r="E163" s="116">
        <v>1</v>
      </c>
      <c r="F163" s="117" t="s">
        <v>152</v>
      </c>
      <c r="G163" s="117" t="s">
        <v>164</v>
      </c>
      <c r="H163" s="118"/>
      <c r="I163" s="118"/>
      <c r="J163" s="118"/>
      <c r="K163" s="119"/>
      <c r="L163" s="117"/>
      <c r="M163" s="120"/>
      <c r="N163" s="117"/>
      <c r="O163" s="120"/>
      <c r="P163" s="120"/>
      <c r="Q163" s="117"/>
      <c r="R163" s="121"/>
      <c r="S163" s="121"/>
      <c r="T163" s="121"/>
      <c r="U163" s="121"/>
      <c r="V163" s="121"/>
      <c r="W163" s="122"/>
      <c r="X163" s="122"/>
      <c r="Y163" s="122"/>
      <c r="Z163" s="122"/>
      <c r="AA163" s="122"/>
      <c r="AB163" s="117"/>
    </row>
    <row r="164" spans="1:28" s="10" customFormat="1" ht="21" customHeight="1" x14ac:dyDescent="0.25">
      <c r="A164" s="11"/>
      <c r="B164" s="7"/>
      <c r="C164" s="6"/>
      <c r="D164" s="124" t="s">
        <v>165</v>
      </c>
      <c r="E164" s="116">
        <v>5</v>
      </c>
      <c r="F164" s="117" t="s">
        <v>152</v>
      </c>
      <c r="G164" s="117" t="s">
        <v>157</v>
      </c>
      <c r="H164" s="118"/>
      <c r="I164" s="118"/>
      <c r="J164" s="118"/>
      <c r="K164" s="119"/>
      <c r="L164" s="117"/>
      <c r="M164" s="120"/>
      <c r="N164" s="117"/>
      <c r="O164" s="120"/>
      <c r="P164" s="120"/>
      <c r="Q164" s="117"/>
      <c r="R164" s="121"/>
      <c r="S164" s="121"/>
      <c r="T164" s="121"/>
      <c r="U164" s="121"/>
      <c r="V164" s="121"/>
      <c r="W164" s="122"/>
      <c r="X164" s="122"/>
      <c r="Y164" s="122"/>
      <c r="Z164" s="122"/>
      <c r="AA164" s="122"/>
      <c r="AB164" s="117"/>
    </row>
    <row r="165" spans="1:28" ht="21" customHeight="1" x14ac:dyDescent="0.25">
      <c r="B165" s="125"/>
      <c r="D165" s="7" t="s">
        <v>166</v>
      </c>
      <c r="E165" s="8">
        <v>2</v>
      </c>
      <c r="F165" s="6" t="s">
        <v>152</v>
      </c>
      <c r="G165" s="6" t="s">
        <v>157</v>
      </c>
      <c r="H165" s="108">
        <v>10000</v>
      </c>
      <c r="I165" s="108">
        <v>0</v>
      </c>
      <c r="J165" s="108">
        <v>0</v>
      </c>
      <c r="K165" s="109">
        <f t="shared" si="81"/>
        <v>10000</v>
      </c>
      <c r="M165" s="110" t="s">
        <v>305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08">
        <v>0</v>
      </c>
      <c r="X165" s="108">
        <v>0</v>
      </c>
      <c r="Y165" s="108">
        <v>0</v>
      </c>
      <c r="Z165" s="108">
        <v>5000</v>
      </c>
      <c r="AA165" s="108">
        <v>0</v>
      </c>
    </row>
    <row r="166" spans="1:28" ht="21" customHeight="1" x14ac:dyDescent="0.25">
      <c r="B166" s="125"/>
      <c r="D166" s="7" t="s">
        <v>167</v>
      </c>
      <c r="E166" s="8">
        <v>2</v>
      </c>
      <c r="F166" s="6" t="s">
        <v>152</v>
      </c>
      <c r="G166" s="6" t="s">
        <v>157</v>
      </c>
      <c r="H166" s="108">
        <v>70000</v>
      </c>
      <c r="I166" s="108">
        <v>0</v>
      </c>
      <c r="J166" s="108">
        <v>0</v>
      </c>
      <c r="K166" s="109">
        <f t="shared" si="81"/>
        <v>70000</v>
      </c>
      <c r="M166" s="112">
        <v>20</v>
      </c>
      <c r="N166" s="6">
        <f t="shared" ref="N166:N167" si="94">+M166*12</f>
        <v>240</v>
      </c>
      <c r="O166" s="112">
        <v>-12</v>
      </c>
      <c r="P166" s="112">
        <v>0</v>
      </c>
      <c r="Q166" s="6">
        <f t="shared" ref="Q166:Q167" si="95">+O166+P166+18</f>
        <v>6</v>
      </c>
      <c r="R166" s="113">
        <f t="shared" ref="R166:V167" si="96">IFERROR(IF(AND((R$219-$Q166)/$N166&gt;0,(R$219-$Q166)/$N166&lt;1),(R$219-$Q166)/$N166,IF((R$219-$Q166)/$N166&gt;0,1,0)),0)</f>
        <v>0</v>
      </c>
      <c r="S166" s="113">
        <f t="shared" si="96"/>
        <v>0.05</v>
      </c>
      <c r="T166" s="113">
        <f t="shared" si="96"/>
        <v>0.1</v>
      </c>
      <c r="U166" s="113">
        <f t="shared" si="96"/>
        <v>0.15</v>
      </c>
      <c r="V166" s="113">
        <f t="shared" si="96"/>
        <v>0.2</v>
      </c>
      <c r="W166" s="114">
        <f t="shared" ref="W166:W167" si="97">R166*($H166-$I166)</f>
        <v>0</v>
      </c>
      <c r="X166" s="114">
        <f t="shared" ref="X166:X167" si="98">S166*($H166-$I166)-W166</f>
        <v>3500</v>
      </c>
      <c r="Y166" s="114">
        <f t="shared" ref="Y166" si="99">T166*($H166-$I166)-SUM(W166:X166)</f>
        <v>3500</v>
      </c>
      <c r="Z166" s="114">
        <f t="shared" ref="Z166" si="100">U166*($H166-$I166)-SUM(W166:Y166)</f>
        <v>3500</v>
      </c>
      <c r="AA166" s="114">
        <f t="shared" ref="AA166:AA167" si="101">V166*($H166-$I166)-SUM(W166:Z166)</f>
        <v>3500</v>
      </c>
    </row>
    <row r="167" spans="1:28" ht="21" customHeight="1" x14ac:dyDescent="0.25">
      <c r="B167" s="125"/>
      <c r="D167" s="7" t="s">
        <v>168</v>
      </c>
      <c r="E167" s="8">
        <v>3</v>
      </c>
      <c r="F167" s="6" t="s">
        <v>152</v>
      </c>
      <c r="G167" s="6" t="s">
        <v>157</v>
      </c>
      <c r="H167" s="108">
        <v>100000</v>
      </c>
      <c r="I167" s="108">
        <v>0</v>
      </c>
      <c r="J167" s="108">
        <v>0</v>
      </c>
      <c r="K167" s="109">
        <f t="shared" si="81"/>
        <v>0</v>
      </c>
      <c r="M167" s="112">
        <v>30</v>
      </c>
      <c r="N167" s="6">
        <f t="shared" si="94"/>
        <v>360</v>
      </c>
      <c r="O167" s="112">
        <v>48</v>
      </c>
      <c r="P167" s="112">
        <v>14</v>
      </c>
      <c r="Q167" s="6">
        <f t="shared" si="95"/>
        <v>80</v>
      </c>
      <c r="R167" s="113">
        <f t="shared" si="96"/>
        <v>0</v>
      </c>
      <c r="S167" s="113">
        <f t="shared" si="96"/>
        <v>0</v>
      </c>
      <c r="T167" s="113">
        <f t="shared" si="96"/>
        <v>0</v>
      </c>
      <c r="U167" s="113">
        <f t="shared" si="96"/>
        <v>0</v>
      </c>
      <c r="V167" s="113">
        <f t="shared" si="96"/>
        <v>0</v>
      </c>
      <c r="W167" s="114">
        <f t="shared" si="97"/>
        <v>0</v>
      </c>
      <c r="X167" s="114">
        <f t="shared" si="98"/>
        <v>0</v>
      </c>
      <c r="Y167" s="114">
        <f t="shared" ref="Y167" si="102">T167*($H167-$I167)-SUM(W167:X167)</f>
        <v>0</v>
      </c>
      <c r="Z167" s="114">
        <f t="shared" ref="Z167" si="103">U167*($H167-$I167)-SUM(W167:Y167)</f>
        <v>0</v>
      </c>
      <c r="AA167" s="114">
        <f t="shared" si="101"/>
        <v>0</v>
      </c>
    </row>
    <row r="168" spans="1:28" ht="21" customHeight="1" x14ac:dyDescent="0.25">
      <c r="B168" s="125"/>
      <c r="D168" s="7" t="s">
        <v>169</v>
      </c>
      <c r="E168" s="8">
        <v>2</v>
      </c>
      <c r="F168" s="6" t="s">
        <v>152</v>
      </c>
      <c r="G168" s="6" t="s">
        <v>157</v>
      </c>
      <c r="H168" s="108">
        <v>40000</v>
      </c>
      <c r="I168" s="108">
        <v>0</v>
      </c>
      <c r="J168" s="108">
        <v>0</v>
      </c>
      <c r="K168" s="109">
        <f t="shared" si="81"/>
        <v>40000</v>
      </c>
      <c r="M168" s="110" t="s">
        <v>305</v>
      </c>
      <c r="N168" s="111"/>
      <c r="O168" s="111"/>
      <c r="P168" s="111"/>
      <c r="Q168" s="111"/>
      <c r="R168" s="111"/>
      <c r="S168" s="111"/>
      <c r="T168" s="111"/>
      <c r="U168" s="111"/>
      <c r="V168" s="111"/>
      <c r="W168" s="108">
        <v>0</v>
      </c>
      <c r="X168" s="108">
        <v>0</v>
      </c>
      <c r="Y168" s="108">
        <v>2000</v>
      </c>
      <c r="Z168" s="108">
        <v>2000</v>
      </c>
      <c r="AA168" s="108">
        <v>2000</v>
      </c>
    </row>
    <row r="169" spans="1:28" ht="21" customHeight="1" x14ac:dyDescent="0.25">
      <c r="B169" s="125"/>
      <c r="D169" s="7" t="s">
        <v>170</v>
      </c>
      <c r="E169" s="8">
        <v>3</v>
      </c>
      <c r="F169" s="6" t="s">
        <v>152</v>
      </c>
      <c r="G169" s="6" t="s">
        <v>157</v>
      </c>
      <c r="H169" s="108">
        <v>2000</v>
      </c>
      <c r="I169" s="108">
        <v>0</v>
      </c>
      <c r="J169" s="108">
        <v>0</v>
      </c>
      <c r="K169" s="109">
        <f t="shared" si="81"/>
        <v>0</v>
      </c>
      <c r="M169" s="110" t="s">
        <v>305</v>
      </c>
      <c r="N169" s="111"/>
      <c r="O169" s="111"/>
      <c r="P169" s="111"/>
      <c r="Q169" s="111"/>
      <c r="R169" s="111"/>
      <c r="S169" s="111"/>
      <c r="T169" s="111"/>
      <c r="U169" s="111"/>
      <c r="V169" s="111"/>
      <c r="W169" s="108">
        <v>0</v>
      </c>
      <c r="X169" s="108">
        <v>0</v>
      </c>
      <c r="Y169" s="108">
        <v>0</v>
      </c>
      <c r="Z169" s="108">
        <v>2000</v>
      </c>
      <c r="AA169" s="108">
        <v>0</v>
      </c>
    </row>
    <row r="170" spans="1:28" s="10" customFormat="1" ht="21" customHeight="1" x14ac:dyDescent="0.25">
      <c r="A170" s="11"/>
      <c r="B170" s="7"/>
      <c r="C170" s="6"/>
      <c r="D170" s="124" t="s">
        <v>171</v>
      </c>
      <c r="E170" s="116">
        <v>4</v>
      </c>
      <c r="F170" s="117" t="s">
        <v>172</v>
      </c>
      <c r="G170" s="117" t="s">
        <v>173</v>
      </c>
      <c r="H170" s="118"/>
      <c r="I170" s="118"/>
      <c r="J170" s="118"/>
      <c r="K170" s="119"/>
      <c r="L170" s="117"/>
      <c r="M170" s="120"/>
      <c r="N170" s="117"/>
      <c r="O170" s="120"/>
      <c r="P170" s="120"/>
      <c r="Q170" s="117"/>
      <c r="R170" s="121"/>
      <c r="S170" s="121"/>
      <c r="T170" s="121"/>
      <c r="U170" s="121"/>
      <c r="V170" s="121"/>
      <c r="W170" s="122"/>
      <c r="X170" s="122"/>
      <c r="Y170" s="122"/>
      <c r="Z170" s="122"/>
      <c r="AA170" s="122"/>
      <c r="AB170" s="117"/>
    </row>
    <row r="171" spans="1:28" s="10" customFormat="1" ht="21" customHeight="1" x14ac:dyDescent="0.25">
      <c r="A171" s="11"/>
      <c r="B171" s="7"/>
      <c r="C171" s="6"/>
      <c r="D171" s="124" t="s">
        <v>174</v>
      </c>
      <c r="E171" s="116">
        <v>1</v>
      </c>
      <c r="F171" s="117" t="s">
        <v>172</v>
      </c>
      <c r="G171" s="117" t="s">
        <v>175</v>
      </c>
      <c r="H171" s="118"/>
      <c r="I171" s="118"/>
      <c r="J171" s="118"/>
      <c r="K171" s="119"/>
      <c r="L171" s="117"/>
      <c r="M171" s="120"/>
      <c r="N171" s="117"/>
      <c r="O171" s="120"/>
      <c r="P171" s="120"/>
      <c r="Q171" s="117"/>
      <c r="R171" s="121"/>
      <c r="S171" s="121"/>
      <c r="T171" s="121"/>
      <c r="U171" s="121"/>
      <c r="V171" s="121"/>
      <c r="W171" s="122"/>
      <c r="X171" s="122"/>
      <c r="Y171" s="122"/>
      <c r="Z171" s="122"/>
      <c r="AA171" s="122"/>
      <c r="AB171" s="117"/>
    </row>
    <row r="172" spans="1:28" s="10" customFormat="1" ht="21" customHeight="1" x14ac:dyDescent="0.25">
      <c r="A172" s="11"/>
      <c r="B172" s="7"/>
      <c r="C172" s="6"/>
      <c r="D172" s="124" t="s">
        <v>176</v>
      </c>
      <c r="E172" s="116">
        <v>1</v>
      </c>
      <c r="F172" s="117" t="s">
        <v>172</v>
      </c>
      <c r="G172" s="117" t="s">
        <v>175</v>
      </c>
      <c r="H172" s="118"/>
      <c r="I172" s="118"/>
      <c r="J172" s="118"/>
      <c r="K172" s="119"/>
      <c r="L172" s="117"/>
      <c r="M172" s="120"/>
      <c r="N172" s="117"/>
      <c r="O172" s="120"/>
      <c r="P172" s="120"/>
      <c r="Q172" s="117"/>
      <c r="R172" s="121"/>
      <c r="S172" s="121"/>
      <c r="T172" s="121"/>
      <c r="U172" s="121"/>
      <c r="V172" s="121"/>
      <c r="W172" s="122"/>
      <c r="X172" s="122"/>
      <c r="Y172" s="122"/>
      <c r="Z172" s="122"/>
      <c r="AA172" s="122"/>
      <c r="AB172" s="117"/>
    </row>
    <row r="173" spans="1:28" s="10" customFormat="1" ht="21" customHeight="1" x14ac:dyDescent="0.25">
      <c r="A173" s="11"/>
      <c r="B173" s="7"/>
      <c r="C173" s="6"/>
      <c r="D173" s="124" t="s">
        <v>177</v>
      </c>
      <c r="E173" s="116">
        <v>4</v>
      </c>
      <c r="F173" s="117" t="s">
        <v>172</v>
      </c>
      <c r="G173" s="117" t="s">
        <v>173</v>
      </c>
      <c r="H173" s="118"/>
      <c r="I173" s="118"/>
      <c r="J173" s="118"/>
      <c r="K173" s="119"/>
      <c r="L173" s="117"/>
      <c r="M173" s="120"/>
      <c r="N173" s="117"/>
      <c r="O173" s="120"/>
      <c r="P173" s="120"/>
      <c r="Q173" s="117"/>
      <c r="R173" s="121"/>
      <c r="S173" s="121"/>
      <c r="T173" s="121"/>
      <c r="U173" s="121"/>
      <c r="V173" s="121"/>
      <c r="W173" s="122"/>
      <c r="X173" s="122"/>
      <c r="Y173" s="122"/>
      <c r="Z173" s="122"/>
      <c r="AA173" s="122"/>
      <c r="AB173" s="117"/>
    </row>
    <row r="174" spans="1:28" s="10" customFormat="1" ht="21" customHeight="1" x14ac:dyDescent="0.25">
      <c r="A174" s="11"/>
      <c r="B174" s="7"/>
      <c r="C174" s="6"/>
      <c r="D174" s="124" t="s">
        <v>178</v>
      </c>
      <c r="E174" s="116">
        <v>4</v>
      </c>
      <c r="F174" s="117" t="s">
        <v>172</v>
      </c>
      <c r="G174" s="117" t="s">
        <v>179</v>
      </c>
      <c r="H174" s="118"/>
      <c r="I174" s="118"/>
      <c r="J174" s="118"/>
      <c r="K174" s="119"/>
      <c r="L174" s="117"/>
      <c r="M174" s="120"/>
      <c r="N174" s="117"/>
      <c r="O174" s="120"/>
      <c r="P174" s="120"/>
      <c r="Q174" s="117"/>
      <c r="R174" s="121"/>
      <c r="S174" s="121"/>
      <c r="T174" s="121"/>
      <c r="U174" s="121"/>
      <c r="V174" s="121"/>
      <c r="W174" s="122"/>
      <c r="X174" s="122"/>
      <c r="Y174" s="122"/>
      <c r="Z174" s="122"/>
      <c r="AA174" s="122"/>
      <c r="AB174" s="117"/>
    </row>
    <row r="175" spans="1:28" s="10" customFormat="1" ht="21" customHeight="1" x14ac:dyDescent="0.25">
      <c r="A175" s="11"/>
      <c r="B175" s="7"/>
      <c r="C175" s="6"/>
      <c r="D175" s="124" t="s">
        <v>180</v>
      </c>
      <c r="E175" s="116">
        <v>5</v>
      </c>
      <c r="F175" s="117" t="s">
        <v>172</v>
      </c>
      <c r="G175" s="117" t="s">
        <v>181</v>
      </c>
      <c r="H175" s="118"/>
      <c r="I175" s="118"/>
      <c r="J175" s="118"/>
      <c r="K175" s="119"/>
      <c r="L175" s="117"/>
      <c r="M175" s="120"/>
      <c r="N175" s="117"/>
      <c r="O175" s="120"/>
      <c r="P175" s="120"/>
      <c r="Q175" s="117"/>
      <c r="R175" s="121"/>
      <c r="S175" s="121"/>
      <c r="T175" s="121"/>
      <c r="U175" s="121"/>
      <c r="V175" s="121"/>
      <c r="W175" s="122"/>
      <c r="X175" s="122"/>
      <c r="Y175" s="122"/>
      <c r="Z175" s="122"/>
      <c r="AA175" s="122"/>
      <c r="AB175" s="117"/>
    </row>
    <row r="176" spans="1:28" s="10" customFormat="1" ht="21" customHeight="1" x14ac:dyDescent="0.25">
      <c r="A176" s="11"/>
      <c r="B176" s="7"/>
      <c r="C176" s="6"/>
      <c r="D176" s="124" t="s">
        <v>182</v>
      </c>
      <c r="E176" s="116">
        <v>2</v>
      </c>
      <c r="F176" s="117" t="s">
        <v>172</v>
      </c>
      <c r="G176" s="117" t="s">
        <v>181</v>
      </c>
      <c r="H176" s="118"/>
      <c r="I176" s="118"/>
      <c r="J176" s="118"/>
      <c r="K176" s="119"/>
      <c r="L176" s="117"/>
      <c r="M176" s="120"/>
      <c r="N176" s="117"/>
      <c r="O176" s="120"/>
      <c r="P176" s="120"/>
      <c r="Q176" s="117"/>
      <c r="R176" s="121"/>
      <c r="S176" s="121"/>
      <c r="T176" s="121"/>
      <c r="U176" s="121"/>
      <c r="V176" s="121"/>
      <c r="W176" s="122"/>
      <c r="X176" s="122"/>
      <c r="Y176" s="122"/>
      <c r="Z176" s="122"/>
      <c r="AA176" s="122"/>
      <c r="AB176" s="117"/>
    </row>
    <row r="177" spans="1:28" s="10" customFormat="1" ht="21" customHeight="1" x14ac:dyDescent="0.25">
      <c r="A177" s="11"/>
      <c r="B177" s="7"/>
      <c r="C177" s="6"/>
      <c r="D177" s="124" t="s">
        <v>183</v>
      </c>
      <c r="E177" s="116">
        <v>5</v>
      </c>
      <c r="F177" s="117" t="s">
        <v>172</v>
      </c>
      <c r="G177" s="117" t="s">
        <v>184</v>
      </c>
      <c r="H177" s="118"/>
      <c r="I177" s="118"/>
      <c r="J177" s="118"/>
      <c r="K177" s="119"/>
      <c r="L177" s="117"/>
      <c r="M177" s="120"/>
      <c r="N177" s="117"/>
      <c r="O177" s="120"/>
      <c r="P177" s="120"/>
      <c r="Q177" s="117"/>
      <c r="R177" s="121"/>
      <c r="S177" s="121"/>
      <c r="T177" s="121"/>
      <c r="U177" s="121"/>
      <c r="V177" s="121"/>
      <c r="W177" s="122"/>
      <c r="X177" s="122"/>
      <c r="Y177" s="122"/>
      <c r="Z177" s="122"/>
      <c r="AA177" s="122"/>
      <c r="AB177" s="117"/>
    </row>
    <row r="178" spans="1:28" s="10" customFormat="1" ht="21" customHeight="1" x14ac:dyDescent="0.25">
      <c r="A178" s="11"/>
      <c r="B178" s="7"/>
      <c r="C178" s="6"/>
      <c r="D178" s="124" t="s">
        <v>527</v>
      </c>
      <c r="E178" s="116">
        <v>5</v>
      </c>
      <c r="F178" s="117" t="s">
        <v>172</v>
      </c>
      <c r="G178" s="117" t="s">
        <v>179</v>
      </c>
      <c r="H178" s="118"/>
      <c r="I178" s="118"/>
      <c r="J178" s="118"/>
      <c r="K178" s="119"/>
      <c r="L178" s="117"/>
      <c r="M178" s="120"/>
      <c r="N178" s="117"/>
      <c r="O178" s="120"/>
      <c r="P178" s="120"/>
      <c r="Q178" s="117"/>
      <c r="R178" s="121"/>
      <c r="S178" s="121"/>
      <c r="T178" s="121"/>
      <c r="U178" s="121"/>
      <c r="V178" s="121"/>
      <c r="W178" s="122"/>
      <c r="X178" s="122"/>
      <c r="Y178" s="122"/>
      <c r="Z178" s="122"/>
      <c r="AA178" s="122"/>
      <c r="AB178" s="117"/>
    </row>
    <row r="179" spans="1:28" ht="21" customHeight="1" x14ac:dyDescent="0.25">
      <c r="B179" s="125"/>
      <c r="D179" s="7" t="s">
        <v>185</v>
      </c>
      <c r="E179" s="8">
        <v>2</v>
      </c>
      <c r="F179" s="6" t="s">
        <v>172</v>
      </c>
      <c r="G179" s="6" t="s">
        <v>179</v>
      </c>
      <c r="H179" s="108">
        <v>6600</v>
      </c>
      <c r="I179" s="108">
        <v>0</v>
      </c>
      <c r="J179" s="108">
        <v>0</v>
      </c>
      <c r="K179" s="109">
        <f t="shared" si="81"/>
        <v>6600</v>
      </c>
      <c r="M179" s="112">
        <v>0.5</v>
      </c>
      <c r="N179" s="6">
        <f t="shared" ref="N179:N216" si="104">+M179*12</f>
        <v>6</v>
      </c>
      <c r="O179" s="112">
        <v>24</v>
      </c>
      <c r="P179" s="112">
        <v>16</v>
      </c>
      <c r="Q179" s="6">
        <f t="shared" si="90"/>
        <v>58</v>
      </c>
      <c r="R179" s="113">
        <f>IFERROR(IF(AND((R$219-$Q179)/$N179&gt;0,(R$219-$Q179)/$N179&lt;1),(R$219-$Q179)/$N179,IF((R$219-$Q179)/$N179&gt;0,1,0)),0)</f>
        <v>0</v>
      </c>
      <c r="S179" s="113">
        <f>IFERROR(IF(AND((S$219-$Q179)/$N179&gt;0,(S$219-$Q179)/$N179&lt;1),(S$219-$Q179)/$N179,IF((S$219-$Q179)/$N179&gt;0,1,0)),0)</f>
        <v>0</v>
      </c>
      <c r="T179" s="113">
        <f>IFERROR(IF(AND((T$219-$Q179)/$N179&gt;0,(T$219-$Q179)/$N179&lt;1),(T$219-$Q179)/$N179,IF((T$219-$Q179)/$N179&gt;0,1,0)),0)</f>
        <v>0</v>
      </c>
      <c r="U179" s="113">
        <f>IFERROR(IF(AND((U$219-$Q179)/$N179&gt;0,(U$219-$Q179)/$N179&lt;1),(U$219-$Q179)/$N179,IF((U$219-$Q179)/$N179&gt;0,1,0)),0)</f>
        <v>0</v>
      </c>
      <c r="V179" s="113">
        <f>IFERROR(IF(AND((V$219-$Q179)/$N179&gt;0,(V$219-$Q179)/$N179&lt;1),(V$219-$Q179)/$N179,IF((V$219-$Q179)/$N179&gt;0,1,0)),0)</f>
        <v>0</v>
      </c>
      <c r="W179" s="114">
        <f>R179*($H179-$I179)</f>
        <v>0</v>
      </c>
      <c r="X179" s="114">
        <f>S179*($H179-$I179)-W179</f>
        <v>0</v>
      </c>
      <c r="Y179" s="114">
        <f>T179*($H179-$I179)-SUM(W179:X179)</f>
        <v>0</v>
      </c>
      <c r="Z179" s="114">
        <f>U179*($H179-$I179)-SUM(W179:Y179)</f>
        <v>0</v>
      </c>
      <c r="AA179" s="114">
        <f>V179*($H179-$I179)-SUM(W179:Z179)</f>
        <v>0</v>
      </c>
    </row>
    <row r="180" spans="1:28" ht="21" customHeight="1" x14ac:dyDescent="0.25">
      <c r="B180" s="7"/>
      <c r="D180" s="7" t="s">
        <v>186</v>
      </c>
      <c r="E180" s="8">
        <v>1</v>
      </c>
      <c r="F180" s="6" t="s">
        <v>187</v>
      </c>
      <c r="G180" s="6" t="s">
        <v>188</v>
      </c>
      <c r="H180" s="108">
        <v>23300</v>
      </c>
      <c r="I180" s="108">
        <v>0</v>
      </c>
      <c r="J180" s="108">
        <v>0</v>
      </c>
      <c r="K180" s="109">
        <f t="shared" si="81"/>
        <v>23300</v>
      </c>
      <c r="M180" s="110" t="s">
        <v>305</v>
      </c>
      <c r="N180" s="111"/>
      <c r="O180" s="111"/>
      <c r="P180" s="111"/>
      <c r="Q180" s="111"/>
      <c r="R180" s="111"/>
      <c r="S180" s="111"/>
      <c r="T180" s="111"/>
      <c r="U180" s="111"/>
      <c r="V180" s="111"/>
      <c r="W180" s="108">
        <v>0</v>
      </c>
      <c r="X180" s="108">
        <v>0</v>
      </c>
      <c r="Y180" s="108">
        <v>0</v>
      </c>
      <c r="Z180" s="108">
        <v>1500</v>
      </c>
      <c r="AA180" s="108">
        <v>1500</v>
      </c>
    </row>
    <row r="181" spans="1:28" ht="21" customHeight="1" x14ac:dyDescent="0.25">
      <c r="B181" s="7"/>
      <c r="D181" s="7" t="s">
        <v>189</v>
      </c>
      <c r="E181" s="8">
        <v>3</v>
      </c>
      <c r="F181" s="6" t="s">
        <v>187</v>
      </c>
      <c r="G181" s="6" t="s">
        <v>188</v>
      </c>
      <c r="H181" s="108">
        <v>6700</v>
      </c>
      <c r="I181" s="108">
        <v>0</v>
      </c>
      <c r="J181" s="108">
        <v>0</v>
      </c>
      <c r="K181" s="109">
        <f t="shared" si="81"/>
        <v>0</v>
      </c>
      <c r="M181" s="112">
        <v>4</v>
      </c>
      <c r="N181" s="6">
        <f t="shared" si="104"/>
        <v>48</v>
      </c>
      <c r="O181" s="112">
        <v>60</v>
      </c>
      <c r="P181" s="112">
        <v>14</v>
      </c>
      <c r="Q181" s="6">
        <f t="shared" si="90"/>
        <v>92</v>
      </c>
      <c r="R181" s="113">
        <f t="shared" ref="R181:V182" si="105">IFERROR(IF(AND((R$219-$Q181)/$N181&gt;0,(R$219-$Q181)/$N181&lt;1),(R$219-$Q181)/$N181,IF((R$219-$Q181)/$N181&gt;0,1,0)),0)</f>
        <v>0</v>
      </c>
      <c r="S181" s="113">
        <f t="shared" si="105"/>
        <v>0</v>
      </c>
      <c r="T181" s="113">
        <f t="shared" si="105"/>
        <v>0</v>
      </c>
      <c r="U181" s="113">
        <f t="shared" si="105"/>
        <v>0</v>
      </c>
      <c r="V181" s="113">
        <f t="shared" si="105"/>
        <v>0</v>
      </c>
      <c r="W181" s="114">
        <f>R181*($H181-$I181)</f>
        <v>0</v>
      </c>
      <c r="X181" s="114">
        <f>S181*($H181-$I181)-W181</f>
        <v>0</v>
      </c>
      <c r="Y181" s="114">
        <f>T181*($H181-$I181)-SUM(W181:X181)</f>
        <v>0</v>
      </c>
      <c r="Z181" s="114">
        <f>U181*($H181-$I181)-SUM(W181:Y181)</f>
        <v>0</v>
      </c>
      <c r="AA181" s="114">
        <f>V181*($H181-$I181)-SUM(W181:Z181)</f>
        <v>0</v>
      </c>
    </row>
    <row r="182" spans="1:28" ht="21" customHeight="1" x14ac:dyDescent="0.25">
      <c r="B182" s="7"/>
      <c r="D182" s="140" t="s">
        <v>190</v>
      </c>
      <c r="E182" s="8">
        <v>5</v>
      </c>
      <c r="F182" s="6" t="s">
        <v>187</v>
      </c>
      <c r="G182" s="6" t="s">
        <v>191</v>
      </c>
      <c r="H182" s="108">
        <f>1500*23</f>
        <v>34500</v>
      </c>
      <c r="I182" s="108">
        <v>0</v>
      </c>
      <c r="J182" s="108">
        <v>0</v>
      </c>
      <c r="K182" s="109">
        <f t="shared" si="81"/>
        <v>0</v>
      </c>
      <c r="M182" s="112">
        <v>14</v>
      </c>
      <c r="N182" s="6">
        <f t="shared" si="104"/>
        <v>168</v>
      </c>
      <c r="O182" s="112">
        <v>48</v>
      </c>
      <c r="P182" s="112">
        <v>14</v>
      </c>
      <c r="Q182" s="6">
        <f t="shared" si="90"/>
        <v>80</v>
      </c>
      <c r="R182" s="113">
        <f t="shared" si="105"/>
        <v>0</v>
      </c>
      <c r="S182" s="113">
        <f t="shared" si="105"/>
        <v>0</v>
      </c>
      <c r="T182" s="113">
        <f t="shared" si="105"/>
        <v>0</v>
      </c>
      <c r="U182" s="113">
        <f t="shared" si="105"/>
        <v>0</v>
      </c>
      <c r="V182" s="113">
        <f t="shared" si="105"/>
        <v>0</v>
      </c>
      <c r="W182" s="114">
        <f>R182*($H182-$I182)</f>
        <v>0</v>
      </c>
      <c r="X182" s="114">
        <f>S182*($H182-$I182)-W182</f>
        <v>0</v>
      </c>
      <c r="Y182" s="114">
        <f>T182*($H182-$I182)-SUM(W182:X182)</f>
        <v>0</v>
      </c>
      <c r="Z182" s="114">
        <f>U182*($H182-$I182)-SUM(W182:Y182)</f>
        <v>0</v>
      </c>
      <c r="AA182" s="114">
        <f>V182*($H182-$I182)-SUM(W182:Z182)</f>
        <v>0</v>
      </c>
    </row>
    <row r="183" spans="1:28" s="10" customFormat="1" ht="21" customHeight="1" x14ac:dyDescent="0.25">
      <c r="A183" s="11"/>
      <c r="B183" s="7"/>
      <c r="C183" s="6"/>
      <c r="D183" s="124" t="s">
        <v>192</v>
      </c>
      <c r="E183" s="116">
        <v>4</v>
      </c>
      <c r="F183" s="117" t="s">
        <v>187</v>
      </c>
      <c r="G183" s="117" t="s">
        <v>193</v>
      </c>
      <c r="H183" s="118"/>
      <c r="I183" s="118"/>
      <c r="J183" s="118"/>
      <c r="K183" s="119"/>
      <c r="L183" s="117"/>
      <c r="M183" s="120"/>
      <c r="N183" s="117"/>
      <c r="O183" s="120"/>
      <c r="P183" s="120"/>
      <c r="Q183" s="117"/>
      <c r="R183" s="121"/>
      <c r="S183" s="121"/>
      <c r="T183" s="121"/>
      <c r="U183" s="121"/>
      <c r="V183" s="121"/>
      <c r="W183" s="122"/>
      <c r="X183" s="122"/>
      <c r="Y183" s="122"/>
      <c r="Z183" s="122"/>
      <c r="AA183" s="122"/>
      <c r="AB183" s="117"/>
    </row>
    <row r="184" spans="1:28" s="10" customFormat="1" ht="21" customHeight="1" x14ac:dyDescent="0.25">
      <c r="A184" s="11"/>
      <c r="B184" s="7"/>
      <c r="C184" s="6"/>
      <c r="D184" s="124" t="s">
        <v>194</v>
      </c>
      <c r="E184" s="116">
        <v>5</v>
      </c>
      <c r="F184" s="117" t="s">
        <v>187</v>
      </c>
      <c r="G184" s="117" t="s">
        <v>195</v>
      </c>
      <c r="H184" s="118"/>
      <c r="I184" s="118"/>
      <c r="J184" s="118"/>
      <c r="K184" s="119"/>
      <c r="L184" s="117"/>
      <c r="M184" s="120"/>
      <c r="N184" s="117"/>
      <c r="O184" s="120"/>
      <c r="P184" s="120"/>
      <c r="Q184" s="117"/>
      <c r="R184" s="121"/>
      <c r="S184" s="121"/>
      <c r="T184" s="121"/>
      <c r="U184" s="121"/>
      <c r="V184" s="121"/>
      <c r="W184" s="122"/>
      <c r="X184" s="122"/>
      <c r="Y184" s="122"/>
      <c r="Z184" s="122"/>
      <c r="AA184" s="122"/>
      <c r="AB184" s="117"/>
    </row>
    <row r="185" spans="1:28" ht="21" customHeight="1" x14ac:dyDescent="0.25">
      <c r="B185" s="7"/>
      <c r="D185" s="7" t="s">
        <v>196</v>
      </c>
      <c r="E185" s="8">
        <v>1</v>
      </c>
      <c r="F185" s="6" t="s">
        <v>187</v>
      </c>
      <c r="G185" s="6" t="s">
        <v>188</v>
      </c>
      <c r="H185" s="108">
        <v>5000</v>
      </c>
      <c r="I185" s="108">
        <v>0</v>
      </c>
      <c r="J185" s="108">
        <v>0</v>
      </c>
      <c r="K185" s="109">
        <f t="shared" ref="K185" si="106">+IF(E185=1,(H185-I185-J185),IF(E185=2,(H185-I185-J185),0))</f>
        <v>5000</v>
      </c>
      <c r="M185" s="112">
        <v>1</v>
      </c>
      <c r="N185" s="6">
        <f t="shared" ref="N185" si="107">+M185*12</f>
        <v>12</v>
      </c>
      <c r="O185" s="112">
        <v>60</v>
      </c>
      <c r="P185" s="112">
        <v>14</v>
      </c>
      <c r="Q185" s="6">
        <f t="shared" ref="Q185" si="108">+O185+P185+18</f>
        <v>92</v>
      </c>
      <c r="R185" s="113">
        <f>IFERROR(IF(AND((R$219-$Q185)/$N185&gt;0,(R$219-$Q185)/$N185&lt;1),(R$219-$Q185)/$N185,IF((R$219-$Q185)/$N185&gt;0,1,0)),0)</f>
        <v>0</v>
      </c>
      <c r="S185" s="113">
        <f>IFERROR(IF(AND((S$219-$Q185)/$N185&gt;0,(S$219-$Q185)/$N185&lt;1),(S$219-$Q185)/$N185,IF((S$219-$Q185)/$N185&gt;0,1,0)),0)</f>
        <v>0</v>
      </c>
      <c r="T185" s="113">
        <f>IFERROR(IF(AND((T$219-$Q185)/$N185&gt;0,(T$219-$Q185)/$N185&lt;1),(T$219-$Q185)/$N185,IF((T$219-$Q185)/$N185&gt;0,1,0)),0)</f>
        <v>0</v>
      </c>
      <c r="U185" s="113">
        <f>IFERROR(IF(AND((U$219-$Q185)/$N185&gt;0,(U$219-$Q185)/$N185&lt;1),(U$219-$Q185)/$N185,IF((U$219-$Q185)/$N185&gt;0,1,0)),0)</f>
        <v>0</v>
      </c>
      <c r="V185" s="113">
        <f>IFERROR(IF(AND((V$219-$Q185)/$N185&gt;0,(V$219-$Q185)/$N185&lt;1),(V$219-$Q185)/$N185,IF((V$219-$Q185)/$N185&gt;0,1,0)),0)</f>
        <v>0</v>
      </c>
      <c r="W185" s="114">
        <f t="shared" ref="W185" si="109">R185*($H185-$I185)</f>
        <v>0</v>
      </c>
      <c r="X185" s="114">
        <f t="shared" ref="X185" si="110">S185*($H185-$I185)-W185</f>
        <v>0</v>
      </c>
      <c r="Y185" s="114">
        <f t="shared" ref="Y185" si="111">T185*($H185-$I185)-SUM(W185:X185)</f>
        <v>0</v>
      </c>
      <c r="Z185" s="114">
        <f t="shared" ref="Z185" si="112">U185*($H185-$I185)-SUM(W185:Y185)</f>
        <v>0</v>
      </c>
      <c r="AA185" s="114">
        <f t="shared" ref="AA185" si="113">V185*($H185-$I185)-SUM(W185:Z185)</f>
        <v>0</v>
      </c>
    </row>
    <row r="186" spans="1:28" s="10" customFormat="1" ht="21" customHeight="1" x14ac:dyDescent="0.25">
      <c r="A186" s="11"/>
      <c r="B186" s="7"/>
      <c r="C186" s="6"/>
      <c r="D186" s="124" t="s">
        <v>197</v>
      </c>
      <c r="E186" s="116">
        <v>5</v>
      </c>
      <c r="F186" s="117" t="s">
        <v>187</v>
      </c>
      <c r="G186" s="117" t="s">
        <v>198</v>
      </c>
      <c r="H186" s="118"/>
      <c r="I186" s="118"/>
      <c r="J186" s="118"/>
      <c r="K186" s="119"/>
      <c r="L186" s="117"/>
      <c r="M186" s="120"/>
      <c r="N186" s="117"/>
      <c r="O186" s="120"/>
      <c r="P186" s="120"/>
      <c r="Q186" s="117"/>
      <c r="R186" s="121"/>
      <c r="S186" s="121"/>
      <c r="T186" s="121"/>
      <c r="U186" s="121"/>
      <c r="V186" s="121"/>
      <c r="W186" s="122"/>
      <c r="X186" s="122"/>
      <c r="Y186" s="122"/>
      <c r="Z186" s="122"/>
      <c r="AA186" s="122"/>
      <c r="AB186" s="117"/>
    </row>
    <row r="187" spans="1:28" s="10" customFormat="1" ht="21" customHeight="1" x14ac:dyDescent="0.25">
      <c r="A187" s="11"/>
      <c r="B187" s="7"/>
      <c r="C187" s="6"/>
      <c r="D187" s="124" t="s">
        <v>199</v>
      </c>
      <c r="E187" s="116">
        <v>5</v>
      </c>
      <c r="F187" s="117" t="s">
        <v>187</v>
      </c>
      <c r="G187" s="117" t="s">
        <v>193</v>
      </c>
      <c r="H187" s="118"/>
      <c r="I187" s="118"/>
      <c r="J187" s="118"/>
      <c r="K187" s="119"/>
      <c r="L187" s="117"/>
      <c r="M187" s="120"/>
      <c r="N187" s="117"/>
      <c r="O187" s="120"/>
      <c r="P187" s="120"/>
      <c r="Q187" s="117"/>
      <c r="R187" s="121"/>
      <c r="S187" s="121"/>
      <c r="T187" s="121"/>
      <c r="U187" s="121"/>
      <c r="V187" s="121"/>
      <c r="W187" s="122"/>
      <c r="X187" s="122"/>
      <c r="Y187" s="122"/>
      <c r="Z187" s="122"/>
      <c r="AA187" s="122"/>
      <c r="AB187" s="117"/>
    </row>
    <row r="188" spans="1:28" ht="21" customHeight="1" x14ac:dyDescent="0.25">
      <c r="B188" s="7"/>
      <c r="D188" s="7" t="s">
        <v>200</v>
      </c>
      <c r="E188" s="8">
        <v>5</v>
      </c>
      <c r="F188" s="6" t="s">
        <v>187</v>
      </c>
      <c r="G188" s="6" t="s">
        <v>201</v>
      </c>
      <c r="H188" s="108">
        <v>0</v>
      </c>
      <c r="I188" s="108">
        <v>0</v>
      </c>
      <c r="J188" s="108">
        <v>0</v>
      </c>
      <c r="K188" s="109">
        <f t="shared" ref="K188:K217" si="114">+IF(E188=1,(H188-I188-J188),IF(E188=2,(H188-I188-J188),0))</f>
        <v>0</v>
      </c>
      <c r="M188" s="112">
        <v>2</v>
      </c>
      <c r="N188" s="6">
        <f t="shared" si="104"/>
        <v>24</v>
      </c>
      <c r="O188" s="112">
        <v>60</v>
      </c>
      <c r="P188" s="112">
        <v>14</v>
      </c>
      <c r="Q188" s="6">
        <f t="shared" si="90"/>
        <v>92</v>
      </c>
      <c r="R188" s="113">
        <f t="shared" ref="R188:V190" si="115">IFERROR(IF(AND((R$219-$Q188)/$N188&gt;0,(R$219-$Q188)/$N188&lt;1),(R$219-$Q188)/$N188,IF((R$219-$Q188)/$N188&gt;0,1,0)),0)</f>
        <v>0</v>
      </c>
      <c r="S188" s="113">
        <f t="shared" si="115"/>
        <v>0</v>
      </c>
      <c r="T188" s="113">
        <f t="shared" si="115"/>
        <v>0</v>
      </c>
      <c r="U188" s="113">
        <f t="shared" si="115"/>
        <v>0</v>
      </c>
      <c r="V188" s="113">
        <f t="shared" si="115"/>
        <v>0</v>
      </c>
      <c r="W188" s="114">
        <f>R188*($H188-$I188)</f>
        <v>0</v>
      </c>
      <c r="X188" s="114">
        <f>S188*($H188-$I188)-W188</f>
        <v>0</v>
      </c>
      <c r="Y188" s="114">
        <f>T188*($H188-$I188)-SUM(W188:X188)</f>
        <v>0</v>
      </c>
      <c r="Z188" s="114">
        <f>U188*($H188-$I188)-SUM(W188:Y188)</f>
        <v>0</v>
      </c>
      <c r="AA188" s="114">
        <f>V188*($H188-$I188)-SUM(W188:Z188)</f>
        <v>0</v>
      </c>
    </row>
    <row r="189" spans="1:28" ht="21" customHeight="1" x14ac:dyDescent="0.25">
      <c r="B189" s="7"/>
      <c r="D189" s="7" t="s">
        <v>202</v>
      </c>
      <c r="E189" s="8">
        <v>5</v>
      </c>
      <c r="F189" s="6" t="s">
        <v>187</v>
      </c>
      <c r="G189" s="6" t="s">
        <v>201</v>
      </c>
      <c r="H189" s="108">
        <v>0</v>
      </c>
      <c r="I189" s="108">
        <v>0</v>
      </c>
      <c r="J189" s="108">
        <v>0</v>
      </c>
      <c r="K189" s="109">
        <f t="shared" si="114"/>
        <v>0</v>
      </c>
      <c r="L189" s="7"/>
      <c r="M189" s="112">
        <v>6</v>
      </c>
      <c r="N189" s="6">
        <f t="shared" si="104"/>
        <v>72</v>
      </c>
      <c r="O189" s="112">
        <v>60</v>
      </c>
      <c r="P189" s="112">
        <v>14</v>
      </c>
      <c r="Q189" s="6">
        <f t="shared" si="90"/>
        <v>92</v>
      </c>
      <c r="R189" s="113">
        <f t="shared" si="115"/>
        <v>0</v>
      </c>
      <c r="S189" s="113">
        <f t="shared" si="115"/>
        <v>0</v>
      </c>
      <c r="T189" s="113">
        <f t="shared" si="115"/>
        <v>0</v>
      </c>
      <c r="U189" s="113">
        <f t="shared" si="115"/>
        <v>0</v>
      </c>
      <c r="V189" s="113">
        <f t="shared" si="115"/>
        <v>0</v>
      </c>
      <c r="W189" s="114">
        <f>R189*($H189-$I189)</f>
        <v>0</v>
      </c>
      <c r="X189" s="114">
        <f>S189*($H189-$I189)-W189</f>
        <v>0</v>
      </c>
      <c r="Y189" s="114">
        <f>T189*($H189-$I189)-SUM(W189:X189)</f>
        <v>0</v>
      </c>
      <c r="Z189" s="114">
        <f>U189*($H189-$I189)-SUM(W189:Y189)</f>
        <v>0</v>
      </c>
      <c r="AA189" s="114">
        <f>V189*($H189-$I189)-SUM(W189:Z189)</f>
        <v>0</v>
      </c>
    </row>
    <row r="190" spans="1:28" ht="21" customHeight="1" x14ac:dyDescent="0.25">
      <c r="B190" s="7"/>
      <c r="D190" s="7" t="s">
        <v>203</v>
      </c>
      <c r="E190" s="8">
        <v>4</v>
      </c>
      <c r="F190" s="6" t="s">
        <v>187</v>
      </c>
      <c r="G190" s="6" t="s">
        <v>201</v>
      </c>
      <c r="H190" s="108">
        <v>25000</v>
      </c>
      <c r="I190" s="108">
        <v>0</v>
      </c>
      <c r="J190" s="108">
        <v>0</v>
      </c>
      <c r="K190" s="109">
        <f t="shared" si="114"/>
        <v>0</v>
      </c>
      <c r="M190" s="112">
        <v>8</v>
      </c>
      <c r="N190" s="6">
        <f t="shared" si="104"/>
        <v>96</v>
      </c>
      <c r="O190" s="112">
        <v>60</v>
      </c>
      <c r="P190" s="112">
        <v>14</v>
      </c>
      <c r="Q190" s="6">
        <f t="shared" si="90"/>
        <v>92</v>
      </c>
      <c r="R190" s="113">
        <f t="shared" si="115"/>
        <v>0</v>
      </c>
      <c r="S190" s="113">
        <f t="shared" si="115"/>
        <v>0</v>
      </c>
      <c r="T190" s="113">
        <f t="shared" si="115"/>
        <v>0</v>
      </c>
      <c r="U190" s="113">
        <f t="shared" si="115"/>
        <v>0</v>
      </c>
      <c r="V190" s="113">
        <f t="shared" si="115"/>
        <v>0</v>
      </c>
      <c r="W190" s="114">
        <f>R190*($H190-$I190)</f>
        <v>0</v>
      </c>
      <c r="X190" s="114">
        <f>S190*($H190-$I190)-W190</f>
        <v>0</v>
      </c>
      <c r="Y190" s="114">
        <f>T190*($H190-$I190)-SUM(W190:X190)</f>
        <v>0</v>
      </c>
      <c r="Z190" s="114">
        <f>U190*($H190-$I190)-SUM(W190:Y190)</f>
        <v>0</v>
      </c>
      <c r="AA190" s="114">
        <f>V190*($H190-$I190)-SUM(W190:Z190)</f>
        <v>0</v>
      </c>
    </row>
    <row r="191" spans="1:28" ht="21" customHeight="1" x14ac:dyDescent="0.25">
      <c r="B191" s="125"/>
      <c r="D191" s="7" t="s">
        <v>204</v>
      </c>
      <c r="E191" s="8">
        <v>2</v>
      </c>
      <c r="F191" s="6" t="s">
        <v>187</v>
      </c>
      <c r="G191" s="6">
        <v>0</v>
      </c>
      <c r="H191" s="108">
        <v>15000</v>
      </c>
      <c r="I191" s="108">
        <v>3512</v>
      </c>
      <c r="J191" s="108">
        <v>3575</v>
      </c>
      <c r="K191" s="109">
        <f t="shared" si="114"/>
        <v>7913</v>
      </c>
      <c r="M191" s="110" t="s">
        <v>305</v>
      </c>
      <c r="N191" s="111"/>
      <c r="O191" s="111"/>
      <c r="P191" s="111"/>
      <c r="Q191" s="111"/>
      <c r="R191" s="111"/>
      <c r="S191" s="111"/>
      <c r="T191" s="111"/>
      <c r="U191" s="111"/>
      <c r="V191" s="111"/>
      <c r="W191" s="108">
        <v>0</v>
      </c>
      <c r="X191" s="108">
        <v>3575</v>
      </c>
      <c r="Y191" s="108">
        <v>2500</v>
      </c>
      <c r="Z191" s="108">
        <v>2500</v>
      </c>
      <c r="AA191" s="108">
        <v>2913</v>
      </c>
    </row>
    <row r="192" spans="1:28" ht="21" customHeight="1" x14ac:dyDescent="0.25">
      <c r="B192" s="125"/>
      <c r="D192" s="372" t="s">
        <v>205</v>
      </c>
      <c r="E192" s="8">
        <v>2</v>
      </c>
      <c r="F192" s="1" t="s">
        <v>187</v>
      </c>
      <c r="G192" s="1">
        <v>0</v>
      </c>
      <c r="H192" s="108">
        <v>7500</v>
      </c>
      <c r="I192" s="108">
        <v>0</v>
      </c>
      <c r="J192" s="108">
        <v>0</v>
      </c>
      <c r="K192" s="109">
        <f t="shared" si="114"/>
        <v>7500</v>
      </c>
      <c r="M192" s="141">
        <v>3</v>
      </c>
      <c r="N192" s="6">
        <f t="shared" si="104"/>
        <v>36</v>
      </c>
      <c r="O192" s="112">
        <v>24</v>
      </c>
      <c r="P192" s="112">
        <v>14</v>
      </c>
      <c r="Q192" s="6">
        <f t="shared" si="90"/>
        <v>56</v>
      </c>
      <c r="R192" s="113">
        <f t="shared" ref="R192:V195" si="116">IFERROR(IF(AND((R$219-$Q192)/$N192&gt;0,(R$219-$Q192)/$N192&lt;1),(R$219-$Q192)/$N192,IF((R$219-$Q192)/$N192&gt;0,1,0)),0)</f>
        <v>0</v>
      </c>
      <c r="S192" s="113">
        <f t="shared" si="116"/>
        <v>0</v>
      </c>
      <c r="T192" s="113">
        <f t="shared" si="116"/>
        <v>0</v>
      </c>
      <c r="U192" s="113">
        <f t="shared" si="116"/>
        <v>0</v>
      </c>
      <c r="V192" s="113">
        <f t="shared" si="116"/>
        <v>0</v>
      </c>
      <c r="W192" s="114">
        <f>R192*($H192-$I192)</f>
        <v>0</v>
      </c>
      <c r="X192" s="114">
        <f>S192*($H192-$I192)-W192</f>
        <v>0</v>
      </c>
      <c r="Y192" s="114">
        <f>T192*($H192-$I192)-SUM(W192:X192)</f>
        <v>0</v>
      </c>
      <c r="Z192" s="114">
        <f>U192*($H192-$I192)-SUM(W192:Y192)</f>
        <v>0</v>
      </c>
      <c r="AA192" s="114">
        <f>V192*($H192-$I192)-SUM(W192:Z192)</f>
        <v>0</v>
      </c>
    </row>
    <row r="193" spans="1:28" ht="21" customHeight="1" x14ac:dyDescent="0.25">
      <c r="B193" s="125"/>
      <c r="D193" s="372" t="s">
        <v>206</v>
      </c>
      <c r="E193" s="8">
        <v>1</v>
      </c>
      <c r="F193" s="1" t="s">
        <v>187</v>
      </c>
      <c r="G193" s="1">
        <v>0</v>
      </c>
      <c r="H193" s="108">
        <v>70000</v>
      </c>
      <c r="I193" s="108">
        <v>0</v>
      </c>
      <c r="J193" s="108">
        <v>0</v>
      </c>
      <c r="K193" s="109">
        <f t="shared" si="114"/>
        <v>70000</v>
      </c>
      <c r="M193" s="141">
        <v>10</v>
      </c>
      <c r="N193" s="6">
        <f t="shared" si="104"/>
        <v>120</v>
      </c>
      <c r="O193" s="112">
        <v>48</v>
      </c>
      <c r="P193" s="112">
        <v>14</v>
      </c>
      <c r="Q193" s="6">
        <f t="shared" si="90"/>
        <v>80</v>
      </c>
      <c r="R193" s="113">
        <f t="shared" si="116"/>
        <v>0</v>
      </c>
      <c r="S193" s="113">
        <f t="shared" si="116"/>
        <v>0</v>
      </c>
      <c r="T193" s="113">
        <f t="shared" si="116"/>
        <v>0</v>
      </c>
      <c r="U193" s="113">
        <f t="shared" si="116"/>
        <v>0</v>
      </c>
      <c r="V193" s="113">
        <f t="shared" si="116"/>
        <v>0</v>
      </c>
      <c r="W193" s="114">
        <f>R193*($H193-$I193)</f>
        <v>0</v>
      </c>
      <c r="X193" s="114">
        <f>S193*($H193-$I193)-W193</f>
        <v>0</v>
      </c>
      <c r="Y193" s="114">
        <f>T193*($H193-$I193)-SUM(W193:X193)</f>
        <v>0</v>
      </c>
      <c r="Z193" s="114">
        <f>U193*($H193-$I193)-SUM(W193:Y193)</f>
        <v>0</v>
      </c>
      <c r="AA193" s="114">
        <f>V193*($H193-$I193)-SUM(W193:Z193)</f>
        <v>0</v>
      </c>
    </row>
    <row r="194" spans="1:28" ht="21" customHeight="1" x14ac:dyDescent="0.25">
      <c r="B194" s="125"/>
      <c r="D194" s="364" t="s">
        <v>207</v>
      </c>
      <c r="E194" s="8">
        <v>4</v>
      </c>
      <c r="F194" s="1" t="s">
        <v>187</v>
      </c>
      <c r="G194" s="1">
        <v>0</v>
      </c>
      <c r="H194" s="108">
        <v>50000</v>
      </c>
      <c r="I194" s="108">
        <v>0</v>
      </c>
      <c r="J194" s="108">
        <v>0</v>
      </c>
      <c r="K194" s="109">
        <f t="shared" si="114"/>
        <v>0</v>
      </c>
      <c r="M194" s="141">
        <v>16</v>
      </c>
      <c r="N194" s="6">
        <f t="shared" si="104"/>
        <v>192</v>
      </c>
      <c r="O194" s="112">
        <v>60</v>
      </c>
      <c r="P194" s="112">
        <v>14</v>
      </c>
      <c r="Q194" s="6">
        <f t="shared" si="90"/>
        <v>92</v>
      </c>
      <c r="R194" s="113">
        <f t="shared" si="116"/>
        <v>0</v>
      </c>
      <c r="S194" s="113">
        <f t="shared" si="116"/>
        <v>0</v>
      </c>
      <c r="T194" s="113">
        <f t="shared" si="116"/>
        <v>0</v>
      </c>
      <c r="U194" s="113">
        <f t="shared" si="116"/>
        <v>0</v>
      </c>
      <c r="V194" s="113">
        <f t="shared" si="116"/>
        <v>0</v>
      </c>
      <c r="W194" s="114">
        <f>R194*($H194-$I194)</f>
        <v>0</v>
      </c>
      <c r="X194" s="114">
        <f>S194*($H194-$I194)-W194</f>
        <v>0</v>
      </c>
      <c r="Y194" s="114">
        <f>T194*($H194-$I194)-SUM(W194:X194)</f>
        <v>0</v>
      </c>
      <c r="Z194" s="114">
        <f>U194*($H194-$I194)-SUM(W194:Y194)</f>
        <v>0</v>
      </c>
      <c r="AA194" s="114">
        <f>V194*($H194-$I194)-SUM(W194:Z194)</f>
        <v>0</v>
      </c>
    </row>
    <row r="195" spans="1:28" ht="21" customHeight="1" x14ac:dyDescent="0.25">
      <c r="B195" s="125"/>
      <c r="D195" s="364" t="s">
        <v>208</v>
      </c>
      <c r="E195" s="8">
        <v>4</v>
      </c>
      <c r="F195" s="1" t="s">
        <v>187</v>
      </c>
      <c r="G195" s="1">
        <v>0</v>
      </c>
      <c r="H195" s="108">
        <v>100000</v>
      </c>
      <c r="I195" s="108">
        <v>0</v>
      </c>
      <c r="J195" s="108">
        <v>0</v>
      </c>
      <c r="K195" s="109">
        <f t="shared" si="114"/>
        <v>0</v>
      </c>
      <c r="M195" s="112">
        <v>20</v>
      </c>
      <c r="N195" s="6">
        <f t="shared" si="104"/>
        <v>240</v>
      </c>
      <c r="O195" s="112">
        <v>120</v>
      </c>
      <c r="P195" s="112">
        <v>14</v>
      </c>
      <c r="Q195" s="6">
        <f t="shared" si="90"/>
        <v>152</v>
      </c>
      <c r="R195" s="113">
        <f t="shared" si="116"/>
        <v>0</v>
      </c>
      <c r="S195" s="113">
        <f t="shared" si="116"/>
        <v>0</v>
      </c>
      <c r="T195" s="113">
        <f t="shared" si="116"/>
        <v>0</v>
      </c>
      <c r="U195" s="113">
        <f t="shared" si="116"/>
        <v>0</v>
      </c>
      <c r="V195" s="113">
        <f t="shared" si="116"/>
        <v>0</v>
      </c>
      <c r="W195" s="114">
        <f>R195*($H195-$I195)</f>
        <v>0</v>
      </c>
      <c r="X195" s="114">
        <f>S195*($H195-$I195)-W195</f>
        <v>0</v>
      </c>
      <c r="Y195" s="114">
        <f>T195*($H195-$I195)-SUM(W195:X195)</f>
        <v>0</v>
      </c>
      <c r="Z195" s="114">
        <f>U195*($H195-$I195)-SUM(W195:Y195)</f>
        <v>0</v>
      </c>
      <c r="AA195" s="114">
        <f>V195*($H195-$I195)-SUM(W195:Z195)</f>
        <v>0</v>
      </c>
    </row>
    <row r="196" spans="1:28" s="10" customFormat="1" ht="21" customHeight="1" x14ac:dyDescent="0.25">
      <c r="A196" s="11"/>
      <c r="B196" s="7"/>
      <c r="C196" s="6"/>
      <c r="D196" s="124" t="s">
        <v>209</v>
      </c>
      <c r="E196" s="116">
        <v>1</v>
      </c>
      <c r="F196" s="117" t="s">
        <v>210</v>
      </c>
      <c r="G196" s="117" t="s">
        <v>211</v>
      </c>
      <c r="H196" s="118"/>
      <c r="I196" s="118"/>
      <c r="J196" s="118"/>
      <c r="K196" s="119"/>
      <c r="L196" s="117"/>
      <c r="M196" s="120"/>
      <c r="N196" s="117"/>
      <c r="O196" s="120"/>
      <c r="P196" s="120"/>
      <c r="Q196" s="117"/>
      <c r="R196" s="121"/>
      <c r="S196" s="121"/>
      <c r="T196" s="121"/>
      <c r="U196" s="121"/>
      <c r="V196" s="121"/>
      <c r="W196" s="122"/>
      <c r="X196" s="122"/>
      <c r="Y196" s="122"/>
      <c r="Z196" s="122"/>
      <c r="AA196" s="122"/>
      <c r="AB196" s="117"/>
    </row>
    <row r="197" spans="1:28" ht="21" customHeight="1" x14ac:dyDescent="0.25">
      <c r="B197" s="125"/>
      <c r="D197" s="372" t="s">
        <v>212</v>
      </c>
      <c r="E197" s="8">
        <v>4</v>
      </c>
      <c r="F197" s="1" t="s">
        <v>210</v>
      </c>
      <c r="G197" s="1" t="s">
        <v>213</v>
      </c>
      <c r="H197" s="108">
        <v>5000</v>
      </c>
      <c r="I197" s="108">
        <v>0</v>
      </c>
      <c r="J197" s="108">
        <v>0</v>
      </c>
      <c r="K197" s="109">
        <f t="shared" ref="K197" si="117">+IF(E197=1,(H197-I197-J197),IF(E197=2,(H197-I197-J197),0))</f>
        <v>0</v>
      </c>
      <c r="M197" s="112">
        <v>1.5</v>
      </c>
      <c r="N197" s="6">
        <f t="shared" ref="N197" si="118">+M197*12</f>
        <v>18</v>
      </c>
      <c r="O197" s="112">
        <v>60</v>
      </c>
      <c r="P197" s="112">
        <v>14</v>
      </c>
      <c r="Q197" s="6">
        <f t="shared" ref="Q197" si="119">+O197+P197+18</f>
        <v>92</v>
      </c>
      <c r="R197" s="113">
        <f>IFERROR(IF(AND((R$219-$Q197)/$N197&gt;0,(R$219-$Q197)/$N197&lt;1),(R$219-$Q197)/$N197,IF((R$219-$Q197)/$N197&gt;0,1,0)),0)</f>
        <v>0</v>
      </c>
      <c r="S197" s="113">
        <f>IFERROR(IF(AND((S$219-$Q197)/$N197&gt;0,(S$219-$Q197)/$N197&lt;1),(S$219-$Q197)/$N197,IF((S$219-$Q197)/$N197&gt;0,1,0)),0)</f>
        <v>0</v>
      </c>
      <c r="T197" s="113">
        <f>IFERROR(IF(AND((T$219-$Q197)/$N197&gt;0,(T$219-$Q197)/$N197&lt;1),(T$219-$Q197)/$N197,IF((T$219-$Q197)/$N197&gt;0,1,0)),0)</f>
        <v>0</v>
      </c>
      <c r="U197" s="113">
        <f>IFERROR(IF(AND((U$219-$Q197)/$N197&gt;0,(U$219-$Q197)/$N197&lt;1),(U$219-$Q197)/$N197,IF((U$219-$Q197)/$N197&gt;0,1,0)),0)</f>
        <v>0</v>
      </c>
      <c r="V197" s="113">
        <f>IFERROR(IF(AND((V$219-$Q197)/$N197&gt;0,(V$219-$Q197)/$N197&lt;1),(V$219-$Q197)/$N197,IF((V$219-$Q197)/$N197&gt;0,1,0)),0)</f>
        <v>0</v>
      </c>
      <c r="W197" s="114">
        <f t="shared" ref="W197" si="120">R197*($H197-$I197)</f>
        <v>0</v>
      </c>
      <c r="X197" s="114">
        <f t="shared" ref="X197" si="121">S197*($H197-$I197)-W197</f>
        <v>0</v>
      </c>
      <c r="Y197" s="114">
        <f t="shared" ref="Y197" si="122">T197*($H197-$I197)-SUM(W197:X197)</f>
        <v>0</v>
      </c>
      <c r="Z197" s="114">
        <f t="shared" ref="Z197" si="123">U197*($H197-$I197)-SUM(W197:Y197)</f>
        <v>0</v>
      </c>
      <c r="AA197" s="114">
        <f t="shared" ref="AA197" si="124">V197*($H197-$I197)-SUM(W197:Z197)</f>
        <v>0</v>
      </c>
    </row>
    <row r="198" spans="1:28" s="10" customFormat="1" ht="21" customHeight="1" x14ac:dyDescent="0.25">
      <c r="A198" s="11"/>
      <c r="B198" s="7"/>
      <c r="C198" s="6"/>
      <c r="D198" s="124" t="s">
        <v>214</v>
      </c>
      <c r="E198" s="116">
        <v>1</v>
      </c>
      <c r="F198" s="117" t="s">
        <v>210</v>
      </c>
      <c r="G198" s="117" t="s">
        <v>211</v>
      </c>
      <c r="H198" s="118"/>
      <c r="I198" s="118"/>
      <c r="J198" s="118"/>
      <c r="K198" s="119"/>
      <c r="L198" s="117"/>
      <c r="M198" s="120"/>
      <c r="N198" s="117"/>
      <c r="O198" s="120"/>
      <c r="P198" s="120"/>
      <c r="Q198" s="117"/>
      <c r="R198" s="121"/>
      <c r="S198" s="121"/>
      <c r="T198" s="121"/>
      <c r="U198" s="121"/>
      <c r="V198" s="121"/>
      <c r="W198" s="122"/>
      <c r="X198" s="122"/>
      <c r="Y198" s="122"/>
      <c r="Z198" s="122"/>
      <c r="AA198" s="122"/>
      <c r="AB198" s="117"/>
    </row>
    <row r="199" spans="1:28" s="10" customFormat="1" ht="21" customHeight="1" x14ac:dyDescent="0.25">
      <c r="A199" s="11"/>
      <c r="B199" s="7"/>
      <c r="C199" s="6"/>
      <c r="D199" s="124" t="s">
        <v>215</v>
      </c>
      <c r="E199" s="116">
        <v>1</v>
      </c>
      <c r="F199" s="117" t="s">
        <v>210</v>
      </c>
      <c r="G199" s="117" t="s">
        <v>216</v>
      </c>
      <c r="H199" s="118"/>
      <c r="I199" s="118"/>
      <c r="J199" s="118"/>
      <c r="K199" s="119"/>
      <c r="L199" s="117"/>
      <c r="M199" s="120"/>
      <c r="N199" s="117"/>
      <c r="O199" s="120"/>
      <c r="P199" s="120"/>
      <c r="Q199" s="117"/>
      <c r="R199" s="121"/>
      <c r="S199" s="121"/>
      <c r="T199" s="121"/>
      <c r="U199" s="121"/>
      <c r="V199" s="121"/>
      <c r="W199" s="122"/>
      <c r="X199" s="122"/>
      <c r="Y199" s="122"/>
      <c r="Z199" s="122"/>
      <c r="AA199" s="122"/>
      <c r="AB199" s="117"/>
    </row>
    <row r="200" spans="1:28" s="10" customFormat="1" ht="21" customHeight="1" x14ac:dyDescent="0.25">
      <c r="A200" s="11"/>
      <c r="B200" s="7"/>
      <c r="C200" s="6"/>
      <c r="D200" s="124" t="s">
        <v>217</v>
      </c>
      <c r="E200" s="116">
        <v>1</v>
      </c>
      <c r="F200" s="117" t="s">
        <v>210</v>
      </c>
      <c r="G200" s="117" t="s">
        <v>216</v>
      </c>
      <c r="H200" s="118"/>
      <c r="I200" s="118"/>
      <c r="J200" s="118"/>
      <c r="K200" s="119"/>
      <c r="L200" s="117"/>
      <c r="M200" s="120"/>
      <c r="N200" s="117"/>
      <c r="O200" s="120"/>
      <c r="P200" s="120"/>
      <c r="Q200" s="117"/>
      <c r="R200" s="121"/>
      <c r="S200" s="121"/>
      <c r="T200" s="121"/>
      <c r="U200" s="121"/>
      <c r="V200" s="121"/>
      <c r="W200" s="122"/>
      <c r="X200" s="122"/>
      <c r="Y200" s="122"/>
      <c r="Z200" s="122"/>
      <c r="AA200" s="122"/>
      <c r="AB200" s="117"/>
    </row>
    <row r="201" spans="1:28" s="10" customFormat="1" ht="21" customHeight="1" x14ac:dyDescent="0.25">
      <c r="A201" s="11"/>
      <c r="B201" s="7"/>
      <c r="C201" s="6"/>
      <c r="D201" s="124" t="s">
        <v>218</v>
      </c>
      <c r="E201" s="116">
        <v>5</v>
      </c>
      <c r="F201" s="117" t="s">
        <v>210</v>
      </c>
      <c r="G201" s="117" t="s">
        <v>216</v>
      </c>
      <c r="H201" s="118"/>
      <c r="I201" s="118"/>
      <c r="J201" s="118"/>
      <c r="K201" s="119"/>
      <c r="L201" s="117"/>
      <c r="M201" s="120"/>
      <c r="N201" s="117"/>
      <c r="O201" s="120"/>
      <c r="P201" s="120"/>
      <c r="Q201" s="117"/>
      <c r="R201" s="121"/>
      <c r="S201" s="121"/>
      <c r="T201" s="121"/>
      <c r="U201" s="121"/>
      <c r="V201" s="121"/>
      <c r="W201" s="122"/>
      <c r="X201" s="122"/>
      <c r="Y201" s="122"/>
      <c r="Z201" s="122"/>
      <c r="AA201" s="122"/>
      <c r="AB201" s="117"/>
    </row>
    <row r="202" spans="1:28" ht="21" customHeight="1" x14ac:dyDescent="0.25">
      <c r="B202" s="7"/>
      <c r="D202" s="7" t="s">
        <v>219</v>
      </c>
      <c r="E202" s="8">
        <v>5</v>
      </c>
      <c r="F202" s="6" t="s">
        <v>210</v>
      </c>
      <c r="G202" s="6" t="s">
        <v>216</v>
      </c>
      <c r="H202" s="108">
        <v>200000</v>
      </c>
      <c r="I202" s="108">
        <v>0</v>
      </c>
      <c r="J202" s="108">
        <v>0</v>
      </c>
      <c r="K202" s="109">
        <f t="shared" ref="K202" si="125">+IF(E202=1,(H202-I202-J202),IF(E202=2,(H202-I202-J202),0))</f>
        <v>0</v>
      </c>
      <c r="M202" s="112">
        <v>30</v>
      </c>
      <c r="N202" s="6">
        <f t="shared" ref="N202" si="126">+M202*12</f>
        <v>360</v>
      </c>
      <c r="O202" s="112">
        <v>84</v>
      </c>
      <c r="P202" s="112">
        <v>12</v>
      </c>
      <c r="Q202" s="6">
        <f t="shared" ref="Q202:Q216" si="127">+O202+P202+18</f>
        <v>114</v>
      </c>
      <c r="R202" s="113">
        <f t="shared" ref="R202:V209" si="128">IFERROR(IF(AND((R$219-$Q202)/$N202&gt;0,(R$219-$Q202)/$N202&lt;1),(R$219-$Q202)/$N202,IF((R$219-$Q202)/$N202&gt;0,1,0)),0)</f>
        <v>0</v>
      </c>
      <c r="S202" s="113">
        <f t="shared" si="128"/>
        <v>0</v>
      </c>
      <c r="T202" s="113">
        <f t="shared" si="128"/>
        <v>0</v>
      </c>
      <c r="U202" s="113">
        <f t="shared" si="128"/>
        <v>0</v>
      </c>
      <c r="V202" s="113">
        <f t="shared" si="128"/>
        <v>0</v>
      </c>
      <c r="W202" s="114">
        <f>R202*($H202-$I202)</f>
        <v>0</v>
      </c>
      <c r="X202" s="114">
        <f>S202*($H202-$I202)-W202</f>
        <v>0</v>
      </c>
      <c r="Y202" s="114">
        <f t="shared" ref="Y202" si="129">T202*($H202-$I202)-SUM(W202:X202)</f>
        <v>0</v>
      </c>
      <c r="Z202" s="114">
        <f t="shared" ref="Z202" si="130">U202*($H202-$I202)-SUM(W202:Y202)</f>
        <v>0</v>
      </c>
      <c r="AA202" s="114">
        <f>V202*($H202-$I202)-SUM(W202:Z202)</f>
        <v>0</v>
      </c>
    </row>
    <row r="203" spans="1:28" ht="21" customHeight="1" x14ac:dyDescent="0.25">
      <c r="B203" s="125"/>
      <c r="D203" s="7" t="s">
        <v>220</v>
      </c>
      <c r="E203" s="8">
        <v>2</v>
      </c>
      <c r="F203" s="6" t="s">
        <v>210</v>
      </c>
      <c r="G203" s="6">
        <v>0</v>
      </c>
      <c r="H203" s="108">
        <v>2000</v>
      </c>
      <c r="I203" s="108">
        <v>0</v>
      </c>
      <c r="J203" s="108">
        <v>0</v>
      </c>
      <c r="K203" s="109">
        <f t="shared" si="114"/>
        <v>2000</v>
      </c>
      <c r="M203" s="112">
        <v>1</v>
      </c>
      <c r="N203" s="6">
        <f t="shared" si="104"/>
        <v>12</v>
      </c>
      <c r="O203" s="112">
        <v>10</v>
      </c>
      <c r="P203" s="112">
        <v>14</v>
      </c>
      <c r="Q203" s="6">
        <f t="shared" si="127"/>
        <v>42</v>
      </c>
      <c r="R203" s="113">
        <f t="shared" si="128"/>
        <v>0</v>
      </c>
      <c r="S203" s="113">
        <f t="shared" si="128"/>
        <v>0</v>
      </c>
      <c r="T203" s="113">
        <f t="shared" si="128"/>
        <v>0</v>
      </c>
      <c r="U203" s="113">
        <f t="shared" si="128"/>
        <v>0</v>
      </c>
      <c r="V203" s="113">
        <f t="shared" si="128"/>
        <v>1</v>
      </c>
      <c r="W203" s="114">
        <f>R203*($H203-$I203)</f>
        <v>0</v>
      </c>
      <c r="X203" s="114">
        <f>S203*($H203-$I203)-W203</f>
        <v>0</v>
      </c>
      <c r="Y203" s="114">
        <f t="shared" ref="Y203:Y204" si="131">T203*($H203-$I203)-SUM(W203:X203)</f>
        <v>0</v>
      </c>
      <c r="Z203" s="114">
        <f t="shared" ref="Z203:Z204" si="132">U203*($H203-$I203)-SUM(W203:Y203)</f>
        <v>0</v>
      </c>
      <c r="AA203" s="114">
        <f>V203*($H203-$I203)-SUM(W203:Z203)</f>
        <v>2000</v>
      </c>
    </row>
    <row r="204" spans="1:28" s="144" customFormat="1" ht="21" customHeight="1" x14ac:dyDescent="0.25">
      <c r="A204" s="11"/>
      <c r="B204" s="125"/>
      <c r="C204" s="6"/>
      <c r="D204" s="372" t="s">
        <v>221</v>
      </c>
      <c r="E204" s="8">
        <v>2</v>
      </c>
      <c r="F204" s="6" t="s">
        <v>210</v>
      </c>
      <c r="G204" s="6">
        <v>0</v>
      </c>
      <c r="H204" s="108">
        <v>42300</v>
      </c>
      <c r="I204" s="108">
        <v>24800</v>
      </c>
      <c r="J204" s="108">
        <v>0</v>
      </c>
      <c r="K204" s="109">
        <f t="shared" si="114"/>
        <v>17500</v>
      </c>
      <c r="L204" s="143"/>
      <c r="M204" s="141">
        <v>1</v>
      </c>
      <c r="N204" s="6">
        <f t="shared" si="104"/>
        <v>12</v>
      </c>
      <c r="O204" s="112">
        <v>48</v>
      </c>
      <c r="P204" s="112">
        <v>14</v>
      </c>
      <c r="Q204" s="6">
        <f t="shared" si="127"/>
        <v>80</v>
      </c>
      <c r="R204" s="113">
        <f t="shared" si="128"/>
        <v>0</v>
      </c>
      <c r="S204" s="113">
        <f t="shared" si="128"/>
        <v>0</v>
      </c>
      <c r="T204" s="113">
        <f t="shared" si="128"/>
        <v>0</v>
      </c>
      <c r="U204" s="113">
        <f t="shared" si="128"/>
        <v>0</v>
      </c>
      <c r="V204" s="113">
        <f t="shared" si="128"/>
        <v>0</v>
      </c>
      <c r="W204" s="114">
        <f>R204*($H204-$I204)</f>
        <v>0</v>
      </c>
      <c r="X204" s="114">
        <f>S204*($H204-$I204)-W204</f>
        <v>0</v>
      </c>
      <c r="Y204" s="114">
        <f t="shared" si="131"/>
        <v>0</v>
      </c>
      <c r="Z204" s="114">
        <f t="shared" si="132"/>
        <v>0</v>
      </c>
      <c r="AA204" s="114">
        <f>V204*($H204-$I204)-SUM(W204:Z204)</f>
        <v>0</v>
      </c>
      <c r="AB204" s="143"/>
    </row>
    <row r="205" spans="1:28" ht="21" customHeight="1" x14ac:dyDescent="0.25">
      <c r="B205" s="125"/>
      <c r="D205" s="372" t="s">
        <v>222</v>
      </c>
      <c r="E205" s="8">
        <v>2</v>
      </c>
      <c r="F205" s="6" t="s">
        <v>210</v>
      </c>
      <c r="G205" s="6">
        <v>0</v>
      </c>
      <c r="H205" s="108">
        <v>136000</v>
      </c>
      <c r="I205" s="108">
        <v>0</v>
      </c>
      <c r="J205" s="108">
        <v>0</v>
      </c>
      <c r="K205" s="109">
        <f t="shared" si="114"/>
        <v>136000</v>
      </c>
      <c r="M205" s="110" t="s">
        <v>305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08">
        <v>0</v>
      </c>
      <c r="X205" s="108">
        <v>0</v>
      </c>
      <c r="Y205" s="108">
        <v>0</v>
      </c>
      <c r="Z205" s="108">
        <v>2000</v>
      </c>
      <c r="AA205" s="108">
        <v>4000</v>
      </c>
    </row>
    <row r="206" spans="1:28" ht="21" customHeight="1" x14ac:dyDescent="0.25">
      <c r="B206" s="125"/>
      <c r="D206" s="372" t="s">
        <v>223</v>
      </c>
      <c r="E206" s="8">
        <v>5</v>
      </c>
      <c r="F206" s="6" t="s">
        <v>210</v>
      </c>
      <c r="G206" s="6">
        <v>0</v>
      </c>
      <c r="H206" s="108">
        <v>164000</v>
      </c>
      <c r="I206" s="108">
        <v>0</v>
      </c>
      <c r="J206" s="108">
        <v>0</v>
      </c>
      <c r="K206" s="109">
        <f t="shared" si="114"/>
        <v>0</v>
      </c>
      <c r="M206" s="141">
        <v>20</v>
      </c>
      <c r="N206" s="6">
        <f t="shared" ref="N206" si="133">+M206*12</f>
        <v>240</v>
      </c>
      <c r="O206" s="112">
        <v>192</v>
      </c>
      <c r="P206" s="112">
        <v>14</v>
      </c>
      <c r="Q206" s="6">
        <f t="shared" ref="Q206" si="134">+O206+P206+18</f>
        <v>224</v>
      </c>
      <c r="R206" s="113">
        <f t="shared" si="128"/>
        <v>0</v>
      </c>
      <c r="S206" s="113">
        <f t="shared" si="128"/>
        <v>0</v>
      </c>
      <c r="T206" s="113">
        <f t="shared" si="128"/>
        <v>0</v>
      </c>
      <c r="U206" s="113">
        <f t="shared" si="128"/>
        <v>0</v>
      </c>
      <c r="V206" s="113">
        <f t="shared" si="128"/>
        <v>0</v>
      </c>
      <c r="W206" s="114">
        <f t="shared" ref="W206" si="135">R206*($H206-$I206)</f>
        <v>0</v>
      </c>
      <c r="X206" s="114">
        <f t="shared" ref="X206" si="136">S206*($H206-$I206)-W206</f>
        <v>0</v>
      </c>
      <c r="Y206" s="114">
        <f t="shared" ref="Y206" si="137">T206*($H206-$I206)-SUM(W206:X206)</f>
        <v>0</v>
      </c>
      <c r="Z206" s="114">
        <f t="shared" ref="Z206" si="138">U206*($H206-$I206)-SUM(W206:Y206)</f>
        <v>0</v>
      </c>
      <c r="AA206" s="114">
        <f t="shared" ref="AA206" si="139">V206*($H206-$I206)-SUM(W206:Z206)</f>
        <v>0</v>
      </c>
    </row>
    <row r="207" spans="1:28" ht="21" customHeight="1" x14ac:dyDescent="0.25">
      <c r="B207" s="125"/>
      <c r="D207" s="372" t="s">
        <v>224</v>
      </c>
      <c r="E207" s="8">
        <v>2</v>
      </c>
      <c r="F207" s="6" t="s">
        <v>210</v>
      </c>
      <c r="G207" s="6">
        <v>0</v>
      </c>
      <c r="H207" s="108">
        <v>43741</v>
      </c>
      <c r="I207" s="108">
        <v>13500</v>
      </c>
      <c r="J207" s="108">
        <v>3000</v>
      </c>
      <c r="K207" s="109">
        <f t="shared" si="114"/>
        <v>27241</v>
      </c>
      <c r="M207" s="110" t="s">
        <v>305</v>
      </c>
      <c r="N207" s="111"/>
      <c r="O207" s="111"/>
      <c r="P207" s="111"/>
      <c r="Q207" s="111"/>
      <c r="R207" s="111"/>
      <c r="S207" s="111"/>
      <c r="T207" s="111"/>
      <c r="U207" s="111"/>
      <c r="V207" s="111"/>
      <c r="W207" s="108">
        <v>3000</v>
      </c>
      <c r="X207" s="108">
        <v>5000</v>
      </c>
      <c r="Y207" s="108">
        <v>4000</v>
      </c>
      <c r="Z207" s="108">
        <v>4000</v>
      </c>
      <c r="AA207" s="108">
        <v>0</v>
      </c>
    </row>
    <row r="208" spans="1:28" ht="21" customHeight="1" x14ac:dyDescent="0.25">
      <c r="B208" s="125"/>
      <c r="D208" s="372" t="s">
        <v>225</v>
      </c>
      <c r="E208" s="8">
        <v>4</v>
      </c>
      <c r="F208" s="6" t="s">
        <v>210</v>
      </c>
      <c r="G208" s="6">
        <v>0</v>
      </c>
      <c r="H208" s="108">
        <v>200000</v>
      </c>
      <c r="I208" s="108">
        <v>0</v>
      </c>
      <c r="J208" s="108">
        <v>0</v>
      </c>
      <c r="K208" s="109">
        <f t="shared" si="114"/>
        <v>0</v>
      </c>
      <c r="M208" s="141">
        <v>10</v>
      </c>
      <c r="N208" s="6">
        <f t="shared" si="104"/>
        <v>120</v>
      </c>
      <c r="O208" s="112">
        <v>48</v>
      </c>
      <c r="P208" s="112">
        <v>14</v>
      </c>
      <c r="Q208" s="6">
        <f t="shared" si="127"/>
        <v>80</v>
      </c>
      <c r="R208" s="113">
        <f t="shared" si="128"/>
        <v>0</v>
      </c>
      <c r="S208" s="113">
        <f t="shared" si="128"/>
        <v>0</v>
      </c>
      <c r="T208" s="113">
        <f t="shared" si="128"/>
        <v>0</v>
      </c>
      <c r="U208" s="113">
        <f t="shared" si="128"/>
        <v>0</v>
      </c>
      <c r="V208" s="113">
        <f t="shared" si="128"/>
        <v>0</v>
      </c>
      <c r="W208" s="114">
        <f>R208*($H208-$I208)</f>
        <v>0</v>
      </c>
      <c r="X208" s="114">
        <f>S208*($H208-$I208)-W208</f>
        <v>0</v>
      </c>
      <c r="Y208" s="114">
        <f t="shared" ref="Y208:Y209" si="140">T208*($H208-$I208)-SUM(W208:X208)</f>
        <v>0</v>
      </c>
      <c r="Z208" s="114">
        <f t="shared" ref="Z208:Z209" si="141">U208*($H208-$I208)-SUM(W208:Y208)</f>
        <v>0</v>
      </c>
      <c r="AA208" s="114">
        <f>V208*($H208-$I208)-SUM(W208:Z208)</f>
        <v>0</v>
      </c>
    </row>
    <row r="209" spans="1:28" s="125" customFormat="1" ht="21" customHeight="1" x14ac:dyDescent="0.25">
      <c r="A209" s="11"/>
      <c r="C209" s="6"/>
      <c r="D209" s="372" t="s">
        <v>226</v>
      </c>
      <c r="E209" s="8">
        <v>3</v>
      </c>
      <c r="F209" s="6" t="s">
        <v>210</v>
      </c>
      <c r="G209" s="6">
        <v>0</v>
      </c>
      <c r="H209" s="108">
        <v>45500</v>
      </c>
      <c r="I209" s="108">
        <v>0</v>
      </c>
      <c r="J209" s="108">
        <v>0</v>
      </c>
      <c r="K209" s="109">
        <f t="shared" si="114"/>
        <v>0</v>
      </c>
      <c r="L209" s="131"/>
      <c r="M209" s="141">
        <v>10</v>
      </c>
      <c r="N209" s="6">
        <f t="shared" si="104"/>
        <v>120</v>
      </c>
      <c r="O209" s="112">
        <v>48</v>
      </c>
      <c r="P209" s="112">
        <v>14</v>
      </c>
      <c r="Q209" s="6">
        <f t="shared" si="127"/>
        <v>80</v>
      </c>
      <c r="R209" s="113">
        <f t="shared" si="128"/>
        <v>0</v>
      </c>
      <c r="S209" s="113">
        <f t="shared" si="128"/>
        <v>0</v>
      </c>
      <c r="T209" s="113">
        <f t="shared" si="128"/>
        <v>0</v>
      </c>
      <c r="U209" s="113">
        <f t="shared" si="128"/>
        <v>0</v>
      </c>
      <c r="V209" s="113">
        <f t="shared" si="128"/>
        <v>0</v>
      </c>
      <c r="W209" s="114">
        <f>R209*($H209-$I209)</f>
        <v>0</v>
      </c>
      <c r="X209" s="114">
        <f>S209*($H209-$I209)-W209</f>
        <v>0</v>
      </c>
      <c r="Y209" s="114">
        <f t="shared" si="140"/>
        <v>0</v>
      </c>
      <c r="Z209" s="114">
        <f t="shared" si="141"/>
        <v>0</v>
      </c>
      <c r="AA209" s="114">
        <f>V209*($H209-$I209)-SUM(W209:Z209)</f>
        <v>0</v>
      </c>
      <c r="AB209" s="131"/>
    </row>
    <row r="210" spans="1:28" s="10" customFormat="1" ht="21" customHeight="1" x14ac:dyDescent="0.25">
      <c r="A210" s="11"/>
      <c r="B210" s="7"/>
      <c r="C210" s="6"/>
      <c r="D210" s="124" t="s">
        <v>227</v>
      </c>
      <c r="E210" s="116">
        <v>2</v>
      </c>
      <c r="F210" s="117" t="s">
        <v>228</v>
      </c>
      <c r="G210" s="117" t="s">
        <v>229</v>
      </c>
      <c r="H210" s="118"/>
      <c r="I210" s="118"/>
      <c r="J210" s="118"/>
      <c r="K210" s="119"/>
      <c r="L210" s="117"/>
      <c r="M210" s="120"/>
      <c r="N210" s="117"/>
      <c r="O210" s="120"/>
      <c r="P210" s="120"/>
      <c r="Q210" s="117"/>
      <c r="R210" s="121"/>
      <c r="S210" s="121"/>
      <c r="T210" s="121"/>
      <c r="U210" s="121"/>
      <c r="V210" s="121"/>
      <c r="W210" s="122"/>
      <c r="X210" s="122"/>
      <c r="Y210" s="122"/>
      <c r="Z210" s="122"/>
      <c r="AA210" s="122"/>
      <c r="AB210" s="117"/>
    </row>
    <row r="211" spans="1:28" s="10" customFormat="1" ht="21" customHeight="1" x14ac:dyDescent="0.25">
      <c r="A211" s="11"/>
      <c r="B211" s="7"/>
      <c r="C211" s="6"/>
      <c r="D211" s="124" t="s">
        <v>230</v>
      </c>
      <c r="E211" s="116">
        <v>3</v>
      </c>
      <c r="F211" s="117" t="s">
        <v>228</v>
      </c>
      <c r="G211" s="117" t="s">
        <v>229</v>
      </c>
      <c r="H211" s="118"/>
      <c r="I211" s="118"/>
      <c r="J211" s="118"/>
      <c r="K211" s="119"/>
      <c r="L211" s="117"/>
      <c r="M211" s="120"/>
      <c r="N211" s="117"/>
      <c r="O211" s="120"/>
      <c r="P211" s="120"/>
      <c r="Q211" s="117"/>
      <c r="R211" s="121"/>
      <c r="S211" s="121"/>
      <c r="T211" s="121"/>
      <c r="U211" s="121"/>
      <c r="V211" s="121"/>
      <c r="W211" s="122"/>
      <c r="X211" s="122"/>
      <c r="Y211" s="122"/>
      <c r="Z211" s="122"/>
      <c r="AA211" s="122"/>
      <c r="AB211" s="117"/>
    </row>
    <row r="212" spans="1:28" s="144" customFormat="1" ht="21" customHeight="1" x14ac:dyDescent="0.25">
      <c r="A212" s="11"/>
      <c r="B212" s="125"/>
      <c r="C212" s="6"/>
      <c r="D212" s="372" t="s">
        <v>231</v>
      </c>
      <c r="E212" s="8">
        <v>5</v>
      </c>
      <c r="F212" s="1" t="s">
        <v>228</v>
      </c>
      <c r="G212" s="1">
        <v>0</v>
      </c>
      <c r="H212" s="108">
        <v>173500</v>
      </c>
      <c r="I212" s="108">
        <v>0</v>
      </c>
      <c r="J212" s="108">
        <v>0</v>
      </c>
      <c r="K212" s="109">
        <f t="shared" si="114"/>
        <v>0</v>
      </c>
      <c r="L212" s="143"/>
      <c r="M212" s="141">
        <v>20</v>
      </c>
      <c r="N212" s="6">
        <f t="shared" si="104"/>
        <v>240</v>
      </c>
      <c r="O212" s="112">
        <v>48</v>
      </c>
      <c r="P212" s="112">
        <v>14</v>
      </c>
      <c r="Q212" s="6">
        <f t="shared" si="127"/>
        <v>80</v>
      </c>
      <c r="R212" s="113">
        <f>IFERROR(IF(AND((R$219-$Q212)/$N212&gt;0,(R$219-$Q212)/$N212&lt;1),(R$219-$Q212)/$N212,IF((R$219-$Q212)/$N212&gt;0,1,0)),0)</f>
        <v>0</v>
      </c>
      <c r="S212" s="113">
        <f>IFERROR(IF(AND((S$219-$Q212)/$N212&gt;0,(S$219-$Q212)/$N212&lt;1),(S$219-$Q212)/$N212,IF((S$219-$Q212)/$N212&gt;0,1,0)),0)</f>
        <v>0</v>
      </c>
      <c r="T212" s="113">
        <f>IFERROR(IF(AND((T$219-$Q212)/$N212&gt;0,(T$219-$Q212)/$N212&lt;1),(T$219-$Q212)/$N212,IF((T$219-$Q212)/$N212&gt;0,1,0)),0)</f>
        <v>0</v>
      </c>
      <c r="U212" s="113">
        <f>IFERROR(IF(AND((U$219-$Q212)/$N212&gt;0,(U$219-$Q212)/$N212&lt;1),(U$219-$Q212)/$N212,IF((U$219-$Q212)/$N212&gt;0,1,0)),0)</f>
        <v>0</v>
      </c>
      <c r="V212" s="113">
        <f>IFERROR(IF(AND((V$219-$Q212)/$N212&gt;0,(V$219-$Q212)/$N212&lt;1),(V$219-$Q212)/$N212,IF((V$219-$Q212)/$N212&gt;0,1,0)),0)</f>
        <v>0</v>
      </c>
      <c r="W212" s="114">
        <f>R212*($H212-$I212)</f>
        <v>0</v>
      </c>
      <c r="X212" s="114">
        <f>S212*($H212-$I212)-W212</f>
        <v>0</v>
      </c>
      <c r="Y212" s="114">
        <f>T212*($H212-$I212)-SUM(W212:X212)</f>
        <v>0</v>
      </c>
      <c r="Z212" s="114">
        <f>U212*($H212-$I212)-SUM(W212:Y212)</f>
        <v>0</v>
      </c>
      <c r="AA212" s="114">
        <f>V212*($H212-$I212)-SUM(W212:Z212)</f>
        <v>0</v>
      </c>
      <c r="AB212" s="143"/>
    </row>
    <row r="213" spans="1:28" s="125" customFormat="1" ht="21" customHeight="1" x14ac:dyDescent="0.25">
      <c r="A213" s="11"/>
      <c r="C213" s="6"/>
      <c r="D213" s="372" t="s">
        <v>232</v>
      </c>
      <c r="E213" s="8">
        <v>1</v>
      </c>
      <c r="F213" s="1" t="s">
        <v>228</v>
      </c>
      <c r="G213" s="1">
        <v>0</v>
      </c>
      <c r="H213" s="108">
        <v>20000</v>
      </c>
      <c r="I213" s="108">
        <v>0</v>
      </c>
      <c r="J213" s="108">
        <v>0</v>
      </c>
      <c r="K213" s="109">
        <f t="shared" si="114"/>
        <v>20000</v>
      </c>
      <c r="L213" s="131"/>
      <c r="M213" s="110" t="s">
        <v>305</v>
      </c>
      <c r="N213" s="111"/>
      <c r="O213" s="111"/>
      <c r="P213" s="111"/>
      <c r="Q213" s="111"/>
      <c r="R213" s="111"/>
      <c r="S213" s="111"/>
      <c r="T213" s="111"/>
      <c r="U213" s="111"/>
      <c r="V213" s="111"/>
      <c r="W213" s="108">
        <v>2000</v>
      </c>
      <c r="X213" s="108">
        <v>2000</v>
      </c>
      <c r="Y213" s="108">
        <v>2000</v>
      </c>
      <c r="Z213" s="108">
        <v>2000</v>
      </c>
      <c r="AA213" s="108">
        <v>2000</v>
      </c>
      <c r="AB213" s="131"/>
    </row>
    <row r="214" spans="1:28" s="125" customFormat="1" ht="21" customHeight="1" x14ac:dyDescent="0.25">
      <c r="A214" s="11"/>
      <c r="C214" s="6"/>
      <c r="D214" s="372" t="s">
        <v>233</v>
      </c>
      <c r="E214" s="8">
        <v>2</v>
      </c>
      <c r="F214" s="1" t="s">
        <v>228</v>
      </c>
      <c r="G214" s="1">
        <v>0</v>
      </c>
      <c r="H214" s="108">
        <v>126500</v>
      </c>
      <c r="I214" s="108">
        <v>0</v>
      </c>
      <c r="J214" s="108">
        <v>0</v>
      </c>
      <c r="K214" s="109">
        <f t="shared" si="114"/>
        <v>126500</v>
      </c>
      <c r="L214" s="131"/>
      <c r="M214" s="110" t="s">
        <v>305</v>
      </c>
      <c r="N214" s="111"/>
      <c r="O214" s="111"/>
      <c r="P214" s="111"/>
      <c r="Q214" s="111"/>
      <c r="R214" s="111"/>
      <c r="S214" s="111"/>
      <c r="T214" s="111"/>
      <c r="U214" s="111"/>
      <c r="V214" s="111"/>
      <c r="W214" s="108">
        <v>0</v>
      </c>
      <c r="X214" s="108">
        <v>0</v>
      </c>
      <c r="Y214" s="108">
        <v>2000</v>
      </c>
      <c r="Z214" s="108">
        <v>2000</v>
      </c>
      <c r="AA214" s="108">
        <v>2000</v>
      </c>
      <c r="AB214" s="131"/>
    </row>
    <row r="215" spans="1:28" s="125" customFormat="1" ht="21" customHeight="1" x14ac:dyDescent="0.25">
      <c r="A215" s="11"/>
      <c r="C215" s="6"/>
      <c r="D215" s="372" t="s">
        <v>234</v>
      </c>
      <c r="E215" s="8">
        <v>3</v>
      </c>
      <c r="F215" s="1" t="s">
        <v>228</v>
      </c>
      <c r="G215" s="1">
        <v>0</v>
      </c>
      <c r="H215" s="108">
        <v>2000</v>
      </c>
      <c r="I215" s="108">
        <v>0</v>
      </c>
      <c r="J215" s="108">
        <v>0</v>
      </c>
      <c r="K215" s="109">
        <f t="shared" si="114"/>
        <v>0</v>
      </c>
      <c r="L215" s="131"/>
      <c r="M215" s="110" t="s">
        <v>305</v>
      </c>
      <c r="N215" s="111"/>
      <c r="O215" s="111"/>
      <c r="P215" s="111"/>
      <c r="Q215" s="111"/>
      <c r="R215" s="111"/>
      <c r="S215" s="111"/>
      <c r="T215" s="111"/>
      <c r="U215" s="111"/>
      <c r="V215" s="111"/>
      <c r="W215" s="108">
        <v>0</v>
      </c>
      <c r="X215" s="108">
        <v>0</v>
      </c>
      <c r="Y215" s="108">
        <v>2000</v>
      </c>
      <c r="Z215" s="108">
        <v>0</v>
      </c>
      <c r="AA215" s="108">
        <v>0</v>
      </c>
      <c r="AB215" s="131"/>
    </row>
    <row r="216" spans="1:28" s="125" customFormat="1" ht="21" customHeight="1" x14ac:dyDescent="0.25">
      <c r="A216" s="11"/>
      <c r="C216" s="6"/>
      <c r="D216" s="372" t="s">
        <v>235</v>
      </c>
      <c r="E216" s="8">
        <v>4</v>
      </c>
      <c r="F216" s="1" t="s">
        <v>228</v>
      </c>
      <c r="G216" s="1">
        <v>0</v>
      </c>
      <c r="H216" s="108">
        <v>50000</v>
      </c>
      <c r="I216" s="108">
        <v>0</v>
      </c>
      <c r="J216" s="108">
        <v>0</v>
      </c>
      <c r="K216" s="109">
        <f t="shared" si="114"/>
        <v>0</v>
      </c>
      <c r="L216" s="131"/>
      <c r="M216" s="112">
        <v>20</v>
      </c>
      <c r="N216" s="6">
        <f t="shared" si="104"/>
        <v>240</v>
      </c>
      <c r="O216" s="112">
        <v>64</v>
      </c>
      <c r="P216" s="112">
        <v>14</v>
      </c>
      <c r="Q216" s="6">
        <f t="shared" si="127"/>
        <v>96</v>
      </c>
      <c r="R216" s="113">
        <f>IFERROR(IF(AND((R$219-$Q216)/$N216&gt;0,(R$219-$Q216)/$N216&lt;1),(R$219-$Q216)/$N216,IF((R$219-$Q216)/$N216&gt;0,1,0)),0)</f>
        <v>0</v>
      </c>
      <c r="S216" s="113">
        <f>IFERROR(IF(AND((S$219-$Q216)/$N216&gt;0,(S$219-$Q216)/$N216&lt;1),(S$219-$Q216)/$N216,IF((S$219-$Q216)/$N216&gt;0,1,0)),0)</f>
        <v>0</v>
      </c>
      <c r="T216" s="113">
        <f>IFERROR(IF(AND((T$219-$Q216)/$N216&gt;0,(T$219-$Q216)/$N216&lt;1),(T$219-$Q216)/$N216,IF((T$219-$Q216)/$N216&gt;0,1,0)),0)</f>
        <v>0</v>
      </c>
      <c r="U216" s="113">
        <f>IFERROR(IF(AND((U$219-$Q216)/$N216&gt;0,(U$219-$Q216)/$N216&lt;1),(U$219-$Q216)/$N216,IF((U$219-$Q216)/$N216&gt;0,1,0)),0)</f>
        <v>0</v>
      </c>
      <c r="V216" s="113">
        <f>IFERROR(IF(AND((V$219-$Q216)/$N216&gt;0,(V$219-$Q216)/$N216&lt;1),(V$219-$Q216)/$N216,IF((V$219-$Q216)/$N216&gt;0,1,0)),0)</f>
        <v>0</v>
      </c>
      <c r="W216" s="114">
        <f>R216*($H216-$I216)</f>
        <v>0</v>
      </c>
      <c r="X216" s="114">
        <f>S216*($H216-$I216)-W216</f>
        <v>0</v>
      </c>
      <c r="Y216" s="114">
        <f>T216*($H216-$I216)-SUM(W216:X216)</f>
        <v>0</v>
      </c>
      <c r="Z216" s="114">
        <f>U216*($H216-$I216)-SUM(W216:Y216)</f>
        <v>0</v>
      </c>
      <c r="AA216" s="114">
        <f>V216*($H216-$I216)-SUM(W216:Z216)</f>
        <v>0</v>
      </c>
      <c r="AB216" s="131"/>
    </row>
    <row r="217" spans="1:28" s="138" customFormat="1" ht="21" customHeight="1" x14ac:dyDescent="0.25">
      <c r="A217" s="11"/>
      <c r="B217" s="125"/>
      <c r="C217" s="6"/>
      <c r="D217" s="132" t="s">
        <v>236</v>
      </c>
      <c r="E217" s="133">
        <v>1</v>
      </c>
      <c r="F217" s="133" t="s">
        <v>228</v>
      </c>
      <c r="G217" s="133">
        <v>0</v>
      </c>
      <c r="H217" s="134">
        <v>12261</v>
      </c>
      <c r="I217" s="134">
        <v>12261</v>
      </c>
      <c r="J217" s="134">
        <v>0</v>
      </c>
      <c r="K217" s="134">
        <f t="shared" si="114"/>
        <v>0</v>
      </c>
      <c r="L217" s="135"/>
      <c r="M217" s="133"/>
      <c r="N217" s="135"/>
      <c r="O217" s="135"/>
      <c r="P217" s="135"/>
      <c r="Q217" s="133"/>
      <c r="R217" s="136"/>
      <c r="S217" s="136"/>
      <c r="T217" s="136"/>
      <c r="U217" s="136"/>
      <c r="V217" s="136"/>
      <c r="W217" s="137"/>
      <c r="X217" s="137"/>
      <c r="Y217" s="137"/>
      <c r="Z217" s="137"/>
      <c r="AA217" s="137"/>
      <c r="AB217" s="135"/>
    </row>
    <row r="218" spans="1:28" s="10" customFormat="1" ht="21" customHeight="1" thickBot="1" x14ac:dyDescent="0.3">
      <c r="A218" s="11"/>
      <c r="B218" s="7"/>
      <c r="C218" s="6"/>
      <c r="D218" s="124" t="s">
        <v>237</v>
      </c>
      <c r="E218" s="116">
        <v>5</v>
      </c>
      <c r="F218" s="117" t="s">
        <v>228</v>
      </c>
      <c r="G218" s="117">
        <v>0</v>
      </c>
      <c r="H218" s="118"/>
      <c r="I218" s="118"/>
      <c r="J218" s="118"/>
      <c r="K218" s="119"/>
      <c r="L218" s="117"/>
      <c r="M218" s="120"/>
      <c r="N218" s="117"/>
      <c r="O218" s="120"/>
      <c r="P218" s="120"/>
      <c r="Q218" s="117"/>
      <c r="R218" s="121"/>
      <c r="S218" s="121"/>
      <c r="T218" s="121"/>
      <c r="U218" s="121"/>
      <c r="V218" s="121"/>
      <c r="W218" s="122"/>
      <c r="X218" s="122"/>
      <c r="Y218" s="122"/>
      <c r="Z218" s="122"/>
      <c r="AA218" s="122"/>
      <c r="AB218" s="117"/>
    </row>
    <row r="219" spans="1:28" ht="21" customHeight="1" thickBot="1" x14ac:dyDescent="0.3">
      <c r="R219" s="145">
        <f>6</f>
        <v>6</v>
      </c>
      <c r="S219" s="146">
        <f>12*1+6</f>
        <v>18</v>
      </c>
      <c r="T219" s="146">
        <f>12*2+6</f>
        <v>30</v>
      </c>
      <c r="U219" s="146">
        <f>12*3+6</f>
        <v>42</v>
      </c>
      <c r="V219" s="147">
        <f>12*4+6</f>
        <v>54</v>
      </c>
    </row>
  </sheetData>
  <autoFilter ref="C25:K218" xr:uid="{B554D1C5-793E-43F8-A4BD-F853F693F853}"/>
  <mergeCells count="26">
    <mergeCell ref="N8:AA8"/>
    <mergeCell ref="C2:K2"/>
    <mergeCell ref="M2:AA2"/>
    <mergeCell ref="N5:AA5"/>
    <mergeCell ref="N6:AA6"/>
    <mergeCell ref="N7:AA7"/>
    <mergeCell ref="M10:N10"/>
    <mergeCell ref="O10:AA10"/>
    <mergeCell ref="M11:N11"/>
    <mergeCell ref="O11:AA11"/>
    <mergeCell ref="M12:N12"/>
    <mergeCell ref="O12:AA12"/>
    <mergeCell ref="M25:AA25"/>
    <mergeCell ref="M13:N13"/>
    <mergeCell ref="O13:AA13"/>
    <mergeCell ref="M14:N14"/>
    <mergeCell ref="O14:AA14"/>
    <mergeCell ref="T16:AA16"/>
    <mergeCell ref="O17:R17"/>
    <mergeCell ref="T17:AA18"/>
    <mergeCell ref="O18:R18"/>
    <mergeCell ref="O19:R19"/>
    <mergeCell ref="T19:AA20"/>
    <mergeCell ref="O20:R20"/>
    <mergeCell ref="O21:R21"/>
    <mergeCell ref="O22:R2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A94B-07FB-4690-A7B3-D5747991803F}">
  <sheetPr>
    <tabColor theme="9" tint="0.79998168889431442"/>
    <pageSetUpPr fitToPage="1"/>
  </sheetPr>
  <dimension ref="A1:BJ160"/>
  <sheetViews>
    <sheetView zoomScaleNormal="100" workbookViewId="0">
      <selection activeCell="T18" sqref="T18"/>
    </sheetView>
  </sheetViews>
  <sheetFormatPr defaultRowHeight="15" x14ac:dyDescent="0.25"/>
  <cols>
    <col min="1" max="1" width="3.7109375" customWidth="1"/>
    <col min="2" max="2" width="55.7109375" customWidth="1"/>
    <col min="3" max="4" width="10.7109375" hidden="1" customWidth="1"/>
    <col min="5" max="6" width="15.7109375" hidden="1" customWidth="1"/>
    <col min="7" max="11" width="15.7109375" customWidth="1"/>
    <col min="12" max="16" width="15.7109375" hidden="1" customWidth="1"/>
    <col min="17" max="17" width="19.28515625" customWidth="1"/>
    <col min="18" max="18" width="15.7109375" customWidth="1"/>
    <col min="19" max="23" width="20.7109375" customWidth="1"/>
    <col min="24" max="31" width="13.7109375" hidden="1" customWidth="1"/>
    <col min="32" max="50" width="9.140625" hidden="1" customWidth="1"/>
    <col min="51" max="51" width="40.7109375" hidden="1" customWidth="1"/>
    <col min="52" max="55" width="9.140625" hidden="1" customWidth="1"/>
    <col min="56" max="56" width="0" hidden="1" customWidth="1"/>
    <col min="57" max="61" width="15.7109375" customWidth="1"/>
  </cols>
  <sheetData>
    <row r="1" spans="1:62" ht="18.75" x14ac:dyDescent="0.3">
      <c r="B1" s="185" t="s">
        <v>320</v>
      </c>
    </row>
    <row r="2" spans="1:62" ht="15.75" x14ac:dyDescent="0.25">
      <c r="B2" s="186" t="s">
        <v>321</v>
      </c>
      <c r="C2" s="187"/>
      <c r="D2" s="187"/>
      <c r="E2" s="187">
        <v>1</v>
      </c>
      <c r="F2" s="187"/>
      <c r="G2" s="188" t="s">
        <v>322</v>
      </c>
      <c r="H2" s="189" t="s">
        <v>41</v>
      </c>
      <c r="I2" s="190">
        <v>67</v>
      </c>
      <c r="J2" s="190">
        <f>+I2*K2</f>
        <v>5360</v>
      </c>
      <c r="K2" s="190">
        <v>80</v>
      </c>
      <c r="L2" s="190"/>
      <c r="M2" s="190"/>
      <c r="N2" s="190"/>
      <c r="O2" s="190"/>
      <c r="P2" s="190"/>
      <c r="Q2" s="191">
        <f>+(R2/I2)*100</f>
        <v>0</v>
      </c>
      <c r="R2" s="190">
        <f>SUM(X2:AE2)</f>
        <v>0</v>
      </c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2"/>
      <c r="AG2" s="193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5"/>
      <c r="AX2" s="196"/>
      <c r="AY2" s="197"/>
      <c r="BC2" s="198"/>
    </row>
    <row r="3" spans="1:62" ht="15.75" x14ac:dyDescent="0.25">
      <c r="B3" s="186" t="s">
        <v>323</v>
      </c>
      <c r="C3" s="187"/>
      <c r="D3" s="187"/>
      <c r="E3" s="187">
        <v>1</v>
      </c>
      <c r="F3" s="187"/>
      <c r="G3" s="188" t="s">
        <v>322</v>
      </c>
      <c r="H3" s="189" t="s">
        <v>116</v>
      </c>
      <c r="I3" s="190">
        <v>70</v>
      </c>
      <c r="J3" s="190">
        <f>+I3*K3</f>
        <v>4900</v>
      </c>
      <c r="K3" s="190">
        <v>70</v>
      </c>
      <c r="L3" s="190"/>
      <c r="M3" s="190"/>
      <c r="N3" s="190"/>
      <c r="O3" s="190"/>
      <c r="P3" s="190"/>
      <c r="Q3" s="191">
        <f t="shared" ref="Q3:Q4" si="0">+(R3/I3)*100</f>
        <v>0</v>
      </c>
      <c r="R3" s="190">
        <v>0</v>
      </c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>
        <v>15</v>
      </c>
      <c r="AD3" s="190"/>
      <c r="AE3" s="190"/>
      <c r="AF3" s="192"/>
      <c r="AG3" s="193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5"/>
      <c r="AX3" s="196"/>
      <c r="AY3" s="197"/>
      <c r="BC3" s="198"/>
    </row>
    <row r="4" spans="1:62" ht="15.75" x14ac:dyDescent="0.25">
      <c r="B4" s="186" t="s">
        <v>324</v>
      </c>
      <c r="C4" s="187"/>
      <c r="D4" s="187"/>
      <c r="E4" s="187">
        <v>1</v>
      </c>
      <c r="F4" s="187"/>
      <c r="G4" s="188" t="s">
        <v>322</v>
      </c>
      <c r="H4" s="189" t="s">
        <v>24</v>
      </c>
      <c r="I4" s="190">
        <v>40</v>
      </c>
      <c r="J4" s="190">
        <f>+I4*K4</f>
        <v>4520</v>
      </c>
      <c r="K4" s="190">
        <v>113</v>
      </c>
      <c r="L4" s="190"/>
      <c r="M4" s="190"/>
      <c r="N4" s="190"/>
      <c r="O4" s="190"/>
      <c r="P4" s="190"/>
      <c r="Q4" s="191">
        <f t="shared" si="0"/>
        <v>0</v>
      </c>
      <c r="R4" s="190">
        <f t="shared" ref="R4" si="1">SUM(X4:AE4)</f>
        <v>0</v>
      </c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2"/>
      <c r="AG4" s="193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5"/>
      <c r="AX4" s="196"/>
      <c r="AY4" s="197"/>
      <c r="BC4" s="198"/>
    </row>
    <row r="5" spans="1:62" ht="15.75" x14ac:dyDescent="0.25">
      <c r="B5" s="186" t="s">
        <v>325</v>
      </c>
      <c r="C5" s="199"/>
      <c r="D5" s="199"/>
      <c r="E5" s="199">
        <v>1</v>
      </c>
      <c r="F5" s="199"/>
      <c r="G5" s="188" t="s">
        <v>322</v>
      </c>
      <c r="H5" s="189" t="s">
        <v>187</v>
      </c>
      <c r="I5" s="190">
        <v>63</v>
      </c>
      <c r="J5" s="190">
        <f>+I5*K5</f>
        <v>6300</v>
      </c>
      <c r="K5" s="190">
        <v>100</v>
      </c>
      <c r="L5" s="190"/>
      <c r="M5" s="190"/>
      <c r="N5" s="190"/>
      <c r="O5" s="190"/>
      <c r="P5" s="190"/>
      <c r="Q5" s="191">
        <f>+(R5/I5)*100</f>
        <v>0</v>
      </c>
      <c r="R5" s="190">
        <v>0</v>
      </c>
      <c r="S5" s="190"/>
      <c r="T5" s="190"/>
      <c r="U5" s="190"/>
      <c r="V5" s="190"/>
      <c r="W5" s="190"/>
      <c r="X5" s="190">
        <v>0</v>
      </c>
      <c r="Y5" s="190"/>
      <c r="Z5" s="190"/>
      <c r="AA5" s="190"/>
      <c r="AB5" s="190"/>
      <c r="AC5" s="190"/>
      <c r="AD5" s="190"/>
      <c r="AE5" s="190"/>
      <c r="AF5" s="192"/>
      <c r="AG5" s="193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5"/>
      <c r="AX5" s="196"/>
      <c r="AY5" s="197"/>
      <c r="BC5" s="198"/>
    </row>
    <row r="6" spans="1:62" ht="15.75" x14ac:dyDescent="0.25">
      <c r="B6" s="186" t="s">
        <v>326</v>
      </c>
      <c r="C6" s="199"/>
      <c r="D6" s="199"/>
      <c r="E6" s="199"/>
      <c r="F6" s="199"/>
      <c r="G6" s="188" t="s">
        <v>322</v>
      </c>
      <c r="H6" s="189" t="s">
        <v>41</v>
      </c>
      <c r="I6" s="190">
        <v>35</v>
      </c>
      <c r="J6" s="190">
        <f>+I6*K6</f>
        <v>2100</v>
      </c>
      <c r="K6" s="190">
        <v>60</v>
      </c>
      <c r="L6" s="190"/>
      <c r="M6" s="190"/>
      <c r="N6" s="190"/>
      <c r="O6" s="190"/>
      <c r="P6" s="190"/>
      <c r="Q6" s="191">
        <f>+(R6/I6)*100</f>
        <v>0</v>
      </c>
      <c r="R6" s="190">
        <f>SUM(X6:AE6)</f>
        <v>0</v>
      </c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2"/>
      <c r="AG6" s="193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5"/>
      <c r="AX6" s="196"/>
      <c r="AY6" s="197"/>
      <c r="BC6" s="198"/>
    </row>
    <row r="7" spans="1:62" ht="15.75" x14ac:dyDescent="0.25">
      <c r="B7" s="186" t="s">
        <v>327</v>
      </c>
      <c r="C7" s="187">
        <v>1</v>
      </c>
      <c r="D7" s="187"/>
      <c r="E7" s="187">
        <v>1</v>
      </c>
      <c r="F7" s="187"/>
      <c r="G7" s="188" t="s">
        <v>322</v>
      </c>
      <c r="H7" s="189" t="s">
        <v>172</v>
      </c>
      <c r="I7" s="190">
        <v>73</v>
      </c>
      <c r="J7" s="190">
        <v>11200</v>
      </c>
      <c r="K7" s="190">
        <f>+J7/I7</f>
        <v>153.42465753424656</v>
      </c>
      <c r="L7" s="190"/>
      <c r="M7" s="190"/>
      <c r="N7" s="190"/>
      <c r="O7" s="190"/>
      <c r="P7" s="190"/>
      <c r="Q7" s="191">
        <f t="shared" ref="Q7:Q8" si="2">+(R7/I7)*100</f>
        <v>100</v>
      </c>
      <c r="R7" s="190">
        <v>73</v>
      </c>
      <c r="S7" s="190"/>
      <c r="T7" s="190"/>
      <c r="U7" s="190"/>
      <c r="V7" s="190"/>
      <c r="W7" s="190"/>
      <c r="X7" s="190"/>
      <c r="Y7" s="190"/>
      <c r="Z7" s="190"/>
      <c r="AA7" s="190">
        <v>68</v>
      </c>
      <c r="AB7" s="190"/>
      <c r="AC7" s="190"/>
      <c r="AD7" s="190"/>
      <c r="AE7" s="190"/>
      <c r="AF7" s="192"/>
      <c r="AG7" s="193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5"/>
      <c r="AX7" s="196"/>
      <c r="AY7" s="197"/>
      <c r="BC7" s="198"/>
    </row>
    <row r="8" spans="1:62" ht="15.75" x14ac:dyDescent="0.25">
      <c r="B8" s="186" t="s">
        <v>214</v>
      </c>
      <c r="C8" s="199">
        <v>1</v>
      </c>
      <c r="D8" s="199">
        <v>1</v>
      </c>
      <c r="E8" s="199"/>
      <c r="F8" s="199"/>
      <c r="G8" s="188" t="s">
        <v>322</v>
      </c>
      <c r="H8" s="189" t="s">
        <v>210</v>
      </c>
      <c r="I8" s="190">
        <v>12</v>
      </c>
      <c r="J8" s="190">
        <v>10000</v>
      </c>
      <c r="K8" s="190">
        <v>200</v>
      </c>
      <c r="L8" s="190"/>
      <c r="M8" s="190"/>
      <c r="N8" s="190"/>
      <c r="O8" s="190"/>
      <c r="P8" s="190"/>
      <c r="Q8" s="191">
        <f t="shared" si="2"/>
        <v>0</v>
      </c>
      <c r="R8" s="190">
        <v>0</v>
      </c>
      <c r="S8" s="190"/>
      <c r="T8" s="190"/>
      <c r="U8" s="190"/>
      <c r="V8" s="190"/>
      <c r="W8" s="190"/>
      <c r="X8" s="190"/>
      <c r="Y8" s="190">
        <v>0</v>
      </c>
      <c r="Z8" s="190"/>
      <c r="AA8" s="190"/>
      <c r="AB8" s="190"/>
      <c r="AC8" s="190"/>
      <c r="AD8" s="190"/>
      <c r="AE8" s="190"/>
      <c r="AF8" s="192"/>
      <c r="AG8" s="193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5"/>
      <c r="AX8" s="196"/>
      <c r="AY8" s="197"/>
      <c r="BC8" s="198"/>
    </row>
    <row r="9" spans="1:62" ht="15.75" x14ac:dyDescent="0.25">
      <c r="B9" s="186" t="s">
        <v>196</v>
      </c>
      <c r="C9" s="187">
        <v>1</v>
      </c>
      <c r="D9" s="187"/>
      <c r="E9" s="187">
        <v>1</v>
      </c>
      <c r="F9" s="187"/>
      <c r="G9" s="188" t="s">
        <v>322</v>
      </c>
      <c r="H9" s="189" t="s">
        <v>187</v>
      </c>
      <c r="I9" s="190">
        <v>59</v>
      </c>
      <c r="J9" s="190">
        <f>9792-J23</f>
        <v>3720.96</v>
      </c>
      <c r="K9" s="200">
        <f>+J9/I9</f>
        <v>63.067118644067797</v>
      </c>
      <c r="L9" s="201"/>
      <c r="M9" s="201"/>
      <c r="N9" s="201"/>
      <c r="O9" s="201"/>
      <c r="P9" s="201"/>
      <c r="Q9" s="191">
        <f>+(R9/I9)*100</f>
        <v>262.71186440677968</v>
      </c>
      <c r="R9" s="190">
        <f>SUM(X9:BC9)</f>
        <v>155</v>
      </c>
      <c r="S9" s="190"/>
      <c r="T9" s="190"/>
      <c r="U9" s="190"/>
      <c r="V9" s="190"/>
      <c r="W9" s="190"/>
      <c r="X9" s="201"/>
      <c r="Y9" s="201"/>
      <c r="Z9" s="201"/>
      <c r="AA9" s="201"/>
      <c r="AB9" s="201"/>
      <c r="AC9" s="201">
        <v>31</v>
      </c>
      <c r="AD9" s="201"/>
      <c r="AE9" s="201">
        <v>124</v>
      </c>
      <c r="AF9" s="202"/>
      <c r="AG9" s="203"/>
      <c r="AH9" s="203"/>
      <c r="AI9" s="203"/>
      <c r="AJ9" s="203"/>
      <c r="AK9" s="204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5"/>
      <c r="AX9" s="206"/>
      <c r="AY9" s="207"/>
      <c r="BC9" s="198"/>
    </row>
    <row r="10" spans="1:62" ht="15.75" x14ac:dyDescent="0.25">
      <c r="B10" s="186" t="s">
        <v>328</v>
      </c>
      <c r="C10" s="187"/>
      <c r="D10" s="187"/>
      <c r="E10" s="187"/>
      <c r="F10" s="187"/>
      <c r="G10" s="188" t="s">
        <v>322</v>
      </c>
      <c r="H10" s="189" t="s">
        <v>210</v>
      </c>
      <c r="I10" s="201">
        <v>52</v>
      </c>
      <c r="J10" s="190">
        <f>+I10*100</f>
        <v>5200</v>
      </c>
      <c r="K10" s="200">
        <f t="shared" ref="K10" si="3">+J10/I10</f>
        <v>100</v>
      </c>
      <c r="L10" s="201"/>
      <c r="M10" s="201"/>
      <c r="N10" s="201"/>
      <c r="O10" s="201"/>
      <c r="P10" s="201"/>
      <c r="Q10" s="191">
        <f t="shared" ref="Q10" si="4">+(R10/I10)*100</f>
        <v>175</v>
      </c>
      <c r="R10" s="190">
        <f t="shared" ref="R10" si="5">SUM(X10:AE10)</f>
        <v>91</v>
      </c>
      <c r="S10" s="190"/>
      <c r="T10" s="190"/>
      <c r="U10" s="190"/>
      <c r="V10" s="190"/>
      <c r="W10" s="190"/>
      <c r="X10" s="201"/>
      <c r="Y10" s="201"/>
      <c r="Z10" s="201"/>
      <c r="AA10" s="201"/>
      <c r="AB10" s="201"/>
      <c r="AC10" s="201"/>
      <c r="AD10" s="201"/>
      <c r="AE10" s="201">
        <v>91</v>
      </c>
      <c r="AF10" s="202"/>
      <c r="AG10" s="203"/>
      <c r="AH10" s="203"/>
      <c r="AI10" s="203"/>
      <c r="AJ10" s="203"/>
      <c r="AK10" s="204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5"/>
      <c r="AX10" s="206"/>
      <c r="AY10" s="207"/>
      <c r="BC10" s="198"/>
    </row>
    <row r="11" spans="1:62" ht="15.75" x14ac:dyDescent="0.25">
      <c r="B11" s="186" t="s">
        <v>329</v>
      </c>
      <c r="C11" s="187"/>
      <c r="D11" s="187"/>
      <c r="E11" s="187">
        <v>1</v>
      </c>
      <c r="F11" s="187"/>
      <c r="G11" s="188" t="s">
        <v>322</v>
      </c>
      <c r="H11" s="189" t="s">
        <v>41</v>
      </c>
      <c r="I11" s="190">
        <v>94</v>
      </c>
      <c r="J11" s="190">
        <v>9100</v>
      </c>
      <c r="K11" s="190">
        <f>+J11/I11</f>
        <v>96.808510638297875</v>
      </c>
      <c r="L11" s="190"/>
      <c r="M11" s="190"/>
      <c r="N11" s="190"/>
      <c r="O11" s="190"/>
      <c r="P11" s="190"/>
      <c r="Q11" s="191">
        <f>+(R11/I11)*100</f>
        <v>0</v>
      </c>
      <c r="R11" s="190">
        <f>SUM(X11:AE11)</f>
        <v>0</v>
      </c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208"/>
      <c r="AG11" s="194"/>
      <c r="AH11" s="194">
        <v>90</v>
      </c>
      <c r="AI11" s="194"/>
      <c r="AJ11" s="194"/>
      <c r="AK11" s="194"/>
      <c r="AL11" s="194"/>
      <c r="AM11" s="194"/>
      <c r="AN11" s="194"/>
      <c r="AO11" s="194"/>
      <c r="AP11" s="194">
        <v>90</v>
      </c>
      <c r="AQ11" s="194"/>
      <c r="AR11" s="194"/>
      <c r="AS11" s="194"/>
      <c r="AT11" s="194"/>
      <c r="AU11" s="194"/>
      <c r="AV11" s="194"/>
      <c r="AW11" s="195"/>
      <c r="AX11" s="196"/>
      <c r="AY11" s="207"/>
      <c r="BC11" s="198"/>
    </row>
    <row r="12" spans="1:62" ht="15.75" x14ac:dyDescent="0.25">
      <c r="B12" s="209"/>
      <c r="C12" s="210"/>
      <c r="D12" s="210"/>
      <c r="E12" s="210"/>
      <c r="F12" s="210"/>
      <c r="G12" s="211"/>
      <c r="H12" s="212"/>
      <c r="I12" s="213">
        <f>SUM(I2:I11)</f>
        <v>565</v>
      </c>
      <c r="J12" s="213"/>
      <c r="K12" s="213"/>
      <c r="L12" s="213"/>
      <c r="M12" s="213"/>
      <c r="N12" s="213"/>
      <c r="O12" s="213"/>
      <c r="P12" s="213"/>
      <c r="Q12" s="214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5"/>
      <c r="AF12" s="202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2"/>
      <c r="AU12" s="203"/>
      <c r="AV12" s="203"/>
      <c r="AW12" s="205"/>
      <c r="AX12" s="216"/>
      <c r="AY12" s="207"/>
      <c r="BC12" s="198"/>
    </row>
    <row r="13" spans="1:62" ht="16.5" thickBot="1" x14ac:dyDescent="0.3">
      <c r="B13" s="209"/>
      <c r="C13" s="210"/>
      <c r="D13" s="210"/>
      <c r="E13" s="210"/>
      <c r="F13" s="210"/>
      <c r="G13" s="211"/>
      <c r="H13" s="212"/>
      <c r="I13" s="217"/>
      <c r="J13" s="213"/>
      <c r="K13" s="218"/>
      <c r="L13" s="217"/>
      <c r="M13" s="217"/>
      <c r="N13" s="217"/>
      <c r="O13" s="217"/>
      <c r="P13" s="217"/>
      <c r="Q13" s="214"/>
      <c r="R13" s="213"/>
      <c r="S13" s="213"/>
      <c r="T13" s="213"/>
      <c r="U13" s="213"/>
      <c r="V13" s="213"/>
      <c r="W13" s="213"/>
      <c r="X13" s="217"/>
      <c r="Y13" s="217"/>
      <c r="Z13" s="217"/>
      <c r="AA13" s="217"/>
      <c r="AB13" s="217"/>
      <c r="AC13" s="217"/>
      <c r="AD13" s="217"/>
      <c r="AE13" s="219"/>
      <c r="AF13" s="202"/>
      <c r="AG13" s="203"/>
      <c r="AH13" s="203"/>
      <c r="AI13" s="203"/>
      <c r="AJ13" s="203"/>
      <c r="AK13" s="204"/>
      <c r="AL13" s="203"/>
      <c r="AM13" s="203"/>
      <c r="AN13" s="203"/>
      <c r="AO13" s="203"/>
      <c r="AP13" s="203"/>
      <c r="AQ13" s="203"/>
      <c r="AR13" s="203"/>
      <c r="AS13" s="203"/>
      <c r="AT13" s="202"/>
      <c r="AU13" s="203"/>
      <c r="AV13" s="203"/>
      <c r="AW13" s="205"/>
      <c r="AX13" s="216"/>
      <c r="AY13" s="207"/>
      <c r="BC13" s="198"/>
    </row>
    <row r="14" spans="1:62" ht="19.5" thickBot="1" x14ac:dyDescent="0.35">
      <c r="B14" s="185" t="s">
        <v>330</v>
      </c>
      <c r="C14" s="220" t="s">
        <v>331</v>
      </c>
      <c r="D14" s="220" t="s">
        <v>332</v>
      </c>
      <c r="E14" s="220" t="s">
        <v>333</v>
      </c>
      <c r="F14" s="220"/>
      <c r="G14" s="220" t="s">
        <v>334</v>
      </c>
      <c r="H14" s="220" t="s">
        <v>5</v>
      </c>
      <c r="I14" s="220" t="s">
        <v>308</v>
      </c>
      <c r="J14" s="220" t="s">
        <v>335</v>
      </c>
      <c r="K14" s="220" t="s">
        <v>336</v>
      </c>
      <c r="L14" s="220" t="s">
        <v>337</v>
      </c>
      <c r="M14" s="220"/>
      <c r="N14" s="220"/>
      <c r="O14" s="220"/>
      <c r="P14" s="220"/>
      <c r="Q14" s="221" t="s">
        <v>338</v>
      </c>
      <c r="R14" s="220" t="s">
        <v>339</v>
      </c>
      <c r="S14" t="s">
        <v>340</v>
      </c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2"/>
      <c r="AF14" s="223">
        <v>2014</v>
      </c>
      <c r="AG14" s="224" t="s">
        <v>341</v>
      </c>
      <c r="AH14" s="225">
        <v>2015</v>
      </c>
      <c r="AI14" s="224" t="s">
        <v>341</v>
      </c>
      <c r="AJ14" s="225">
        <v>2016</v>
      </c>
      <c r="AK14" s="224" t="s">
        <v>341</v>
      </c>
      <c r="AL14" s="225">
        <v>2017</v>
      </c>
      <c r="AM14" s="224" t="s">
        <v>341</v>
      </c>
      <c r="AN14" s="225">
        <v>2018</v>
      </c>
      <c r="AO14" s="224" t="s">
        <v>341</v>
      </c>
      <c r="AP14" s="225">
        <v>2019</v>
      </c>
      <c r="AQ14" s="224" t="s">
        <v>341</v>
      </c>
      <c r="AR14" s="225">
        <v>2020</v>
      </c>
      <c r="AS14" s="224" t="s">
        <v>341</v>
      </c>
      <c r="AT14" s="223">
        <v>2021</v>
      </c>
      <c r="AU14" s="224" t="s">
        <v>341</v>
      </c>
      <c r="AV14" s="225">
        <v>2022</v>
      </c>
      <c r="AW14" s="226" t="s">
        <v>341</v>
      </c>
      <c r="AX14" s="227"/>
      <c r="AY14" s="206"/>
      <c r="BC14" s="198"/>
      <c r="BE14" t="s">
        <v>342</v>
      </c>
      <c r="BF14" s="220"/>
      <c r="BG14" s="220"/>
      <c r="BH14" s="220"/>
      <c r="BI14" s="220"/>
    </row>
    <row r="15" spans="1:62" ht="19.5" thickBot="1" x14ac:dyDescent="0.35">
      <c r="B15" s="228"/>
      <c r="C15" s="229"/>
      <c r="D15" s="229"/>
      <c r="E15" s="229"/>
      <c r="F15" s="229"/>
      <c r="G15" s="230"/>
      <c r="H15" s="230"/>
      <c r="I15" s="231"/>
      <c r="J15" s="232" t="s">
        <v>343</v>
      </c>
      <c r="K15" s="232" t="s">
        <v>343</v>
      </c>
      <c r="L15" s="232" t="s">
        <v>344</v>
      </c>
      <c r="M15" s="232" t="s">
        <v>345</v>
      </c>
      <c r="N15" s="232" t="s">
        <v>346</v>
      </c>
      <c r="O15" s="232" t="s">
        <v>347</v>
      </c>
      <c r="P15" s="232" t="s">
        <v>348</v>
      </c>
      <c r="Q15" s="232" t="s">
        <v>349</v>
      </c>
      <c r="R15" s="232" t="s">
        <v>350</v>
      </c>
      <c r="S15" s="233" t="s">
        <v>351</v>
      </c>
      <c r="T15" s="233" t="s">
        <v>352</v>
      </c>
      <c r="U15" s="233" t="s">
        <v>353</v>
      </c>
      <c r="V15" s="233" t="s">
        <v>354</v>
      </c>
      <c r="W15" s="233" t="s">
        <v>355</v>
      </c>
      <c r="X15" s="234" t="s">
        <v>356</v>
      </c>
      <c r="Y15" s="234" t="s">
        <v>357</v>
      </c>
      <c r="Z15" s="234" t="s">
        <v>358</v>
      </c>
      <c r="AA15" s="234" t="s">
        <v>359</v>
      </c>
      <c r="AB15" s="234" t="s">
        <v>360</v>
      </c>
      <c r="AC15" s="234" t="s">
        <v>361</v>
      </c>
      <c r="AD15" s="234" t="s">
        <v>362</v>
      </c>
      <c r="AE15" s="235" t="s">
        <v>363</v>
      </c>
      <c r="AF15" s="236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8"/>
      <c r="AX15" s="239"/>
      <c r="AY15" s="240"/>
      <c r="AZ15" s="241"/>
      <c r="BA15" s="241"/>
      <c r="BB15" s="241"/>
      <c r="BC15" s="242" t="s">
        <v>364</v>
      </c>
      <c r="BE15" s="233" t="s">
        <v>351</v>
      </c>
      <c r="BF15" s="233" t="s">
        <v>352</v>
      </c>
      <c r="BG15" s="233" t="s">
        <v>353</v>
      </c>
      <c r="BH15" s="233" t="s">
        <v>354</v>
      </c>
      <c r="BI15" s="233" t="s">
        <v>365</v>
      </c>
      <c r="BJ15" s="243" t="s">
        <v>366</v>
      </c>
    </row>
    <row r="16" spans="1:62" ht="15.75" x14ac:dyDescent="0.25">
      <c r="A16">
        <v>1</v>
      </c>
      <c r="B16" s="186" t="s">
        <v>323</v>
      </c>
      <c r="C16" s="187"/>
      <c r="D16" s="187"/>
      <c r="E16" s="187">
        <v>1</v>
      </c>
      <c r="F16" s="187"/>
      <c r="G16" s="188" t="s">
        <v>322</v>
      </c>
      <c r="H16" s="189" t="s">
        <v>116</v>
      </c>
      <c r="I16" s="190">
        <v>290</v>
      </c>
      <c r="J16" s="190">
        <f>+I16*K16</f>
        <v>20300</v>
      </c>
      <c r="K16" s="190">
        <v>70</v>
      </c>
      <c r="L16" s="190"/>
      <c r="M16" s="190"/>
      <c r="N16" s="190"/>
      <c r="O16" s="190"/>
      <c r="P16" s="190"/>
      <c r="Q16" s="191">
        <f t="shared" ref="Q16:Q17" si="6">+(R16/I16)*100</f>
        <v>5.1724137931034484</v>
      </c>
      <c r="R16" s="190">
        <v>15</v>
      </c>
      <c r="S16" s="244"/>
      <c r="T16" s="244">
        <v>2.16</v>
      </c>
      <c r="U16" s="244"/>
      <c r="V16" s="244"/>
      <c r="W16" s="244"/>
      <c r="X16" s="190"/>
      <c r="Y16" s="190"/>
      <c r="Z16" s="190"/>
      <c r="AA16" s="190"/>
      <c r="AB16" s="190"/>
      <c r="AC16" s="190">
        <v>15</v>
      </c>
      <c r="AD16" s="190"/>
      <c r="AE16" s="190"/>
      <c r="AF16" s="192"/>
      <c r="AG16" s="193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5"/>
      <c r="AX16" s="196"/>
      <c r="AY16" s="197"/>
      <c r="BC16" s="198"/>
      <c r="BF16" s="2">
        <f>+I16</f>
        <v>290</v>
      </c>
    </row>
    <row r="17" spans="1:60" ht="15.75" x14ac:dyDescent="0.25">
      <c r="A17">
        <f>+A16+1</f>
        <v>2</v>
      </c>
      <c r="B17" s="186" t="s">
        <v>324</v>
      </c>
      <c r="C17" s="187"/>
      <c r="D17" s="187"/>
      <c r="E17" s="187">
        <v>1</v>
      </c>
      <c r="F17" s="187"/>
      <c r="G17" s="188" t="s">
        <v>322</v>
      </c>
      <c r="H17" s="189" t="s">
        <v>24</v>
      </c>
      <c r="I17" s="190">
        <v>740</v>
      </c>
      <c r="J17" s="190">
        <f>+I17*K17</f>
        <v>83620</v>
      </c>
      <c r="K17" s="190">
        <v>113</v>
      </c>
      <c r="L17" s="190"/>
      <c r="M17" s="190"/>
      <c r="N17" s="190"/>
      <c r="O17" s="190"/>
      <c r="P17" s="190"/>
      <c r="Q17" s="191">
        <f t="shared" si="6"/>
        <v>0</v>
      </c>
      <c r="R17" s="190">
        <f t="shared" ref="R17:R28" si="7">SUM(X17:AE17)</f>
        <v>0</v>
      </c>
      <c r="S17" s="244">
        <v>8.5</v>
      </c>
      <c r="T17" s="244"/>
      <c r="U17" s="244"/>
      <c r="V17" s="244"/>
      <c r="W17" s="244"/>
      <c r="X17" s="190"/>
      <c r="Y17" s="190"/>
      <c r="Z17" s="190"/>
      <c r="AA17" s="190"/>
      <c r="AB17" s="190"/>
      <c r="AC17" s="190"/>
      <c r="AD17" s="190"/>
      <c r="AE17" s="190"/>
      <c r="AF17" s="192"/>
      <c r="AG17" s="193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5"/>
      <c r="AX17" s="196"/>
      <c r="AY17" s="197"/>
      <c r="BC17" s="198"/>
      <c r="BE17" s="2">
        <f>+I17</f>
        <v>740</v>
      </c>
    </row>
    <row r="18" spans="1:60" ht="15.75" x14ac:dyDescent="0.25">
      <c r="A18">
        <v>3</v>
      </c>
      <c r="B18" s="186" t="s">
        <v>367</v>
      </c>
      <c r="C18" s="187"/>
      <c r="D18" s="187"/>
      <c r="E18" s="187">
        <v>1</v>
      </c>
      <c r="F18" s="187"/>
      <c r="G18" s="188" t="s">
        <v>322</v>
      </c>
      <c r="H18" s="189" t="s">
        <v>8</v>
      </c>
      <c r="I18" s="190">
        <v>7</v>
      </c>
      <c r="J18" s="190">
        <f>+I18*120</f>
        <v>840</v>
      </c>
      <c r="K18" s="190">
        <f>+J18/I18</f>
        <v>120</v>
      </c>
      <c r="L18" s="190"/>
      <c r="M18" s="190"/>
      <c r="N18" s="190"/>
      <c r="O18" s="190"/>
      <c r="P18" s="190"/>
      <c r="Q18" s="191">
        <f>+(R18/I18)*100</f>
        <v>0</v>
      </c>
      <c r="R18" s="190">
        <f>SUM(X18:AE18)</f>
        <v>0</v>
      </c>
      <c r="S18" s="244">
        <v>0.12</v>
      </c>
      <c r="T18" s="244"/>
      <c r="U18" s="244"/>
      <c r="V18" s="244"/>
      <c r="W18" s="244"/>
      <c r="X18" s="190"/>
      <c r="Y18" s="190"/>
      <c r="Z18" s="190"/>
      <c r="AA18" s="190"/>
      <c r="AB18" s="190"/>
      <c r="AC18" s="190"/>
      <c r="AD18" s="190"/>
      <c r="AE18" s="190"/>
      <c r="AF18" s="192"/>
      <c r="AG18" s="193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5"/>
      <c r="AX18" s="196"/>
      <c r="AY18" s="197"/>
      <c r="BC18" s="198"/>
      <c r="BE18" s="2">
        <f t="shared" ref="BE18:BE21" si="8">+I18</f>
        <v>7</v>
      </c>
    </row>
    <row r="19" spans="1:60" ht="15.75" x14ac:dyDescent="0.25">
      <c r="A19">
        <f t="shared" ref="A19:A28" si="9">+A18+1</f>
        <v>4</v>
      </c>
      <c r="B19" s="186" t="s">
        <v>368</v>
      </c>
      <c r="C19" s="187"/>
      <c r="D19" s="187"/>
      <c r="E19" s="187">
        <v>1</v>
      </c>
      <c r="F19" s="187"/>
      <c r="G19" s="188" t="s">
        <v>322</v>
      </c>
      <c r="H19" s="189" t="s">
        <v>41</v>
      </c>
      <c r="I19" s="190">
        <v>141</v>
      </c>
      <c r="J19" s="190">
        <f t="shared" ref="J19:J20" si="10">+I19*K19</f>
        <v>19740</v>
      </c>
      <c r="K19" s="190">
        <v>140</v>
      </c>
      <c r="L19" s="190"/>
      <c r="M19" s="190"/>
      <c r="N19" s="190"/>
      <c r="O19" s="190"/>
      <c r="P19" s="190"/>
      <c r="Q19" s="191">
        <f t="shared" ref="Q19:Q22" si="11">+(R19/I19)*100</f>
        <v>0</v>
      </c>
      <c r="R19" s="190">
        <f t="shared" si="7"/>
        <v>0</v>
      </c>
      <c r="S19" s="244">
        <v>3.1</v>
      </c>
      <c r="T19" s="244"/>
      <c r="U19" s="244"/>
      <c r="V19" s="244"/>
      <c r="W19" s="244"/>
      <c r="X19" s="190"/>
      <c r="Y19" s="190"/>
      <c r="Z19" s="190"/>
      <c r="AA19" s="190"/>
      <c r="AB19" s="190"/>
      <c r="AC19" s="190"/>
      <c r="AD19" s="190"/>
      <c r="AE19" s="190"/>
      <c r="AF19" s="192"/>
      <c r="AG19" s="193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5"/>
      <c r="AX19" s="196"/>
      <c r="AY19" s="197"/>
      <c r="BC19" s="198"/>
      <c r="BE19" s="2">
        <f t="shared" si="8"/>
        <v>141</v>
      </c>
    </row>
    <row r="20" spans="1:60" ht="15.75" x14ac:dyDescent="0.25">
      <c r="A20">
        <f t="shared" si="9"/>
        <v>5</v>
      </c>
      <c r="B20" s="186" t="s">
        <v>50</v>
      </c>
      <c r="C20" s="187"/>
      <c r="D20" s="187"/>
      <c r="E20" s="187">
        <v>1</v>
      </c>
      <c r="F20" s="187"/>
      <c r="G20" s="188" t="s">
        <v>322</v>
      </c>
      <c r="H20" s="189" t="s">
        <v>41</v>
      </c>
      <c r="I20" s="190">
        <v>72</v>
      </c>
      <c r="J20" s="190">
        <f t="shared" si="10"/>
        <v>4680</v>
      </c>
      <c r="K20" s="190">
        <v>65</v>
      </c>
      <c r="L20" s="190"/>
      <c r="M20" s="190"/>
      <c r="N20" s="190"/>
      <c r="O20" s="190"/>
      <c r="P20" s="190"/>
      <c r="Q20" s="191">
        <f t="shared" si="11"/>
        <v>0</v>
      </c>
      <c r="R20" s="190">
        <f t="shared" si="7"/>
        <v>0</v>
      </c>
      <c r="S20" s="244">
        <v>0.2</v>
      </c>
      <c r="T20" s="244"/>
      <c r="U20" s="244"/>
      <c r="V20" s="244"/>
      <c r="W20" s="244"/>
      <c r="X20" s="190"/>
      <c r="Y20" s="190"/>
      <c r="Z20" s="190"/>
      <c r="AA20" s="190"/>
      <c r="AB20" s="190"/>
      <c r="AC20" s="190"/>
      <c r="AD20" s="190"/>
      <c r="AE20" s="190"/>
      <c r="AF20" s="192"/>
      <c r="AG20" s="193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5"/>
      <c r="AX20" s="196"/>
      <c r="AY20" s="197"/>
      <c r="BC20" s="198"/>
      <c r="BE20" s="2">
        <f t="shared" si="8"/>
        <v>72</v>
      </c>
    </row>
    <row r="21" spans="1:60" ht="15.75" x14ac:dyDescent="0.25">
      <c r="A21">
        <v>12</v>
      </c>
      <c r="B21" s="186" t="s">
        <v>91</v>
      </c>
      <c r="C21" s="199"/>
      <c r="D21" s="199"/>
      <c r="E21" s="199"/>
      <c r="F21" s="199"/>
      <c r="G21" s="188" t="s">
        <v>322</v>
      </c>
      <c r="H21" s="189" t="s">
        <v>84</v>
      </c>
      <c r="I21" s="190">
        <v>21</v>
      </c>
      <c r="J21" s="190">
        <f>(3500*0.85)*6/7</f>
        <v>2550</v>
      </c>
      <c r="K21" s="190">
        <f>+J21/I21</f>
        <v>121.42857142857143</v>
      </c>
      <c r="L21" s="190"/>
      <c r="M21" s="190"/>
      <c r="N21" s="190"/>
      <c r="O21" s="190"/>
      <c r="P21" s="190"/>
      <c r="Q21" s="191">
        <f t="shared" si="11"/>
        <v>0</v>
      </c>
      <c r="R21" s="190">
        <f t="shared" si="7"/>
        <v>0</v>
      </c>
      <c r="S21" s="244">
        <v>0.11</v>
      </c>
      <c r="T21" s="244"/>
      <c r="U21" s="244"/>
      <c r="V21" s="244"/>
      <c r="W21" s="244"/>
      <c r="X21" s="190"/>
      <c r="Y21" s="190"/>
      <c r="Z21" s="190"/>
      <c r="AA21" s="190"/>
      <c r="AB21" s="190"/>
      <c r="AC21" s="190"/>
      <c r="AD21" s="190"/>
      <c r="AE21" s="190"/>
      <c r="AF21" s="192"/>
      <c r="AG21" s="193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5"/>
      <c r="AX21" s="196"/>
      <c r="AY21" s="197"/>
      <c r="BC21" s="198"/>
      <c r="BE21" s="2">
        <f t="shared" si="8"/>
        <v>21</v>
      </c>
    </row>
    <row r="22" spans="1:60" ht="15.75" x14ac:dyDescent="0.25">
      <c r="A22">
        <v>13</v>
      </c>
      <c r="B22" s="186" t="s">
        <v>327</v>
      </c>
      <c r="C22" s="187">
        <v>1</v>
      </c>
      <c r="D22" s="187"/>
      <c r="E22" s="187">
        <v>1</v>
      </c>
      <c r="F22" s="187"/>
      <c r="G22" s="188" t="s">
        <v>322</v>
      </c>
      <c r="H22" s="189" t="s">
        <v>172</v>
      </c>
      <c r="I22" s="190">
        <v>72</v>
      </c>
      <c r="J22" s="190">
        <v>6000</v>
      </c>
      <c r="K22" s="190">
        <f>+J22/I22</f>
        <v>83.333333333333329</v>
      </c>
      <c r="L22" s="190"/>
      <c r="M22" s="190"/>
      <c r="N22" s="190"/>
      <c r="O22" s="190"/>
      <c r="P22" s="190"/>
      <c r="Q22" s="191">
        <f t="shared" si="11"/>
        <v>100</v>
      </c>
      <c r="R22" s="190">
        <f>SUM(X22:BC22)</f>
        <v>72</v>
      </c>
      <c r="S22" s="244"/>
      <c r="T22" s="244">
        <v>0.62</v>
      </c>
      <c r="U22" s="244"/>
      <c r="V22" s="244"/>
      <c r="W22" s="244"/>
      <c r="X22" s="190"/>
      <c r="Y22" s="190">
        <v>63</v>
      </c>
      <c r="Z22" s="190"/>
      <c r="AA22" s="190"/>
      <c r="AB22" s="190"/>
      <c r="AC22" s="190">
        <v>9</v>
      </c>
      <c r="AD22" s="190"/>
      <c r="AE22" s="190"/>
      <c r="AF22" s="192"/>
      <c r="AG22" s="193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5"/>
      <c r="AX22" s="196"/>
      <c r="AY22" s="197"/>
      <c r="BC22" s="198"/>
      <c r="BF22" s="2">
        <f>+I22</f>
        <v>72</v>
      </c>
      <c r="BG22" s="2"/>
      <c r="BH22" s="2"/>
    </row>
    <row r="23" spans="1:60" ht="15.75" x14ac:dyDescent="0.25">
      <c r="B23" s="186" t="s">
        <v>196</v>
      </c>
      <c r="C23" s="187">
        <v>1</v>
      </c>
      <c r="D23" s="187"/>
      <c r="E23" s="187">
        <v>1</v>
      </c>
      <c r="F23" s="187"/>
      <c r="G23" s="188" t="s">
        <v>322</v>
      </c>
      <c r="H23" s="189" t="s">
        <v>187</v>
      </c>
      <c r="I23" s="190">
        <v>96</v>
      </c>
      <c r="J23" s="190">
        <f>9792*0.62</f>
        <v>6071.04</v>
      </c>
      <c r="K23" s="200">
        <f>+J23/I23</f>
        <v>63.24</v>
      </c>
      <c r="L23" s="201"/>
      <c r="M23" s="201"/>
      <c r="N23" s="201"/>
      <c r="O23" s="201"/>
      <c r="P23" s="201"/>
      <c r="Q23" s="191">
        <f>+(R23/I23)*100</f>
        <v>100</v>
      </c>
      <c r="R23" s="190">
        <v>96</v>
      </c>
      <c r="S23" s="244"/>
      <c r="T23" s="244">
        <v>1.23</v>
      </c>
      <c r="U23" s="244"/>
      <c r="V23" s="244"/>
      <c r="W23" s="244"/>
      <c r="X23" s="201"/>
      <c r="Y23" s="201"/>
      <c r="Z23" s="201"/>
      <c r="AA23" s="201"/>
      <c r="AB23" s="201"/>
      <c r="AC23" s="201">
        <v>31</v>
      </c>
      <c r="AD23" s="190"/>
      <c r="AE23" s="190"/>
      <c r="AF23" s="192"/>
      <c r="AG23" s="193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5"/>
      <c r="AX23" s="196"/>
      <c r="AY23" s="197"/>
      <c r="BC23" s="198"/>
      <c r="BF23" s="2">
        <f>+I23</f>
        <v>96</v>
      </c>
    </row>
    <row r="24" spans="1:60" ht="15.75" x14ac:dyDescent="0.25">
      <c r="A24">
        <v>15</v>
      </c>
      <c r="B24" s="186" t="s">
        <v>51</v>
      </c>
      <c r="C24" s="187"/>
      <c r="D24" s="187"/>
      <c r="E24" s="187"/>
      <c r="F24" s="187"/>
      <c r="G24" s="188" t="s">
        <v>322</v>
      </c>
      <c r="H24" s="189" t="s">
        <v>41</v>
      </c>
      <c r="I24" s="190">
        <v>70</v>
      </c>
      <c r="J24" s="190">
        <f>8700*0.85</f>
        <v>7395</v>
      </c>
      <c r="K24" s="190">
        <f>+J24/I24</f>
        <v>105.64285714285714</v>
      </c>
      <c r="L24" s="190"/>
      <c r="M24" s="190"/>
      <c r="N24" s="190"/>
      <c r="O24" s="190"/>
      <c r="P24" s="190"/>
      <c r="Q24" s="191">
        <v>0</v>
      </c>
      <c r="R24" s="190">
        <f t="shared" si="7"/>
        <v>0</v>
      </c>
      <c r="S24" s="244">
        <v>0.23</v>
      </c>
      <c r="T24" s="244"/>
      <c r="U24" s="244"/>
      <c r="V24" s="244"/>
      <c r="W24" s="244"/>
      <c r="X24" s="190"/>
      <c r="Y24" s="190"/>
      <c r="Z24" s="190"/>
      <c r="AA24" s="190"/>
      <c r="AB24" s="190"/>
      <c r="AC24" s="190"/>
      <c r="AD24" s="190"/>
      <c r="AE24" s="190"/>
      <c r="AF24" s="202"/>
      <c r="AG24" s="203"/>
      <c r="AH24" s="203"/>
      <c r="AI24" s="203"/>
      <c r="AJ24" s="203"/>
      <c r="AK24" s="204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5"/>
      <c r="AX24" s="206"/>
      <c r="AY24" s="207"/>
      <c r="BC24" s="198"/>
      <c r="BE24" s="2">
        <f>+I24</f>
        <v>70</v>
      </c>
    </row>
    <row r="25" spans="1:60" ht="15.75" x14ac:dyDescent="0.25">
      <c r="A25">
        <f t="shared" si="9"/>
        <v>16</v>
      </c>
      <c r="B25" s="186" t="s">
        <v>131</v>
      </c>
      <c r="C25" s="187"/>
      <c r="D25" s="187"/>
      <c r="E25" s="187"/>
      <c r="F25" s="187"/>
      <c r="G25" s="188" t="s">
        <v>322</v>
      </c>
      <c r="H25" s="189" t="s">
        <v>116</v>
      </c>
      <c r="I25" s="190">
        <v>45</v>
      </c>
      <c r="J25" s="190">
        <v>4250</v>
      </c>
      <c r="K25" s="200">
        <f>+J25/I25</f>
        <v>94.444444444444443</v>
      </c>
      <c r="L25" s="201"/>
      <c r="M25" s="201"/>
      <c r="N25" s="201"/>
      <c r="O25" s="201"/>
      <c r="P25" s="201"/>
      <c r="Q25" s="191">
        <f t="shared" ref="Q25:Q28" si="12">+(R25/I25)*100</f>
        <v>4.4444444444444446</v>
      </c>
      <c r="R25" s="190">
        <v>2</v>
      </c>
      <c r="S25" s="244"/>
      <c r="T25" s="244">
        <v>0.56999999999999995</v>
      </c>
      <c r="U25" s="244"/>
      <c r="V25" s="244"/>
      <c r="W25" s="244"/>
      <c r="X25" s="201"/>
      <c r="Y25" s="201"/>
      <c r="Z25" s="201"/>
      <c r="AA25" s="201"/>
      <c r="AB25" s="201"/>
      <c r="AC25" s="201"/>
      <c r="AD25" s="201"/>
      <c r="AE25" s="201"/>
      <c r="AF25" s="202"/>
      <c r="AG25" s="203"/>
      <c r="AH25" s="203"/>
      <c r="AI25" s="203"/>
      <c r="AJ25" s="203"/>
      <c r="AK25" s="204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5"/>
      <c r="AX25" s="206"/>
      <c r="AY25" s="207"/>
      <c r="BC25" s="198"/>
      <c r="BF25" s="2">
        <f>+I25</f>
        <v>45</v>
      </c>
    </row>
    <row r="26" spans="1:60" ht="15.75" x14ac:dyDescent="0.25">
      <c r="A26" t="e">
        <f>+#REF!+1</f>
        <v>#REF!</v>
      </c>
      <c r="B26" s="186" t="s">
        <v>12</v>
      </c>
      <c r="C26" s="187"/>
      <c r="D26" s="187"/>
      <c r="E26" s="187"/>
      <c r="F26" s="187"/>
      <c r="G26" s="188" t="s">
        <v>322</v>
      </c>
      <c r="H26" s="189" t="s">
        <v>8</v>
      </c>
      <c r="I26" s="190">
        <v>78</v>
      </c>
      <c r="J26" s="190">
        <f>8080*0.8</f>
        <v>6464</v>
      </c>
      <c r="K26" s="200">
        <f t="shared" ref="K26" si="13">+J26/I26</f>
        <v>82.871794871794876</v>
      </c>
      <c r="L26" s="201"/>
      <c r="M26" s="201"/>
      <c r="N26" s="201"/>
      <c r="O26" s="201"/>
      <c r="P26" s="201"/>
      <c r="Q26" s="191">
        <f t="shared" si="12"/>
        <v>100</v>
      </c>
      <c r="R26" s="190">
        <f>SUM(X26:BC26)</f>
        <v>78</v>
      </c>
      <c r="S26" s="244">
        <v>0.72</v>
      </c>
      <c r="T26" s="244"/>
      <c r="U26" s="244"/>
      <c r="V26" s="244"/>
      <c r="W26" s="244"/>
      <c r="X26" s="201"/>
      <c r="Y26" s="201">
        <v>60</v>
      </c>
      <c r="Z26" s="201"/>
      <c r="AA26" s="201"/>
      <c r="AB26" s="201"/>
      <c r="AC26" s="201">
        <v>18</v>
      </c>
      <c r="AD26" s="201"/>
      <c r="AE26" s="201"/>
      <c r="AF26" s="202"/>
      <c r="AG26" s="203"/>
      <c r="AH26" s="203"/>
      <c r="AI26" s="203"/>
      <c r="AJ26" s="203"/>
      <c r="AK26" s="204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5"/>
      <c r="AX26" s="206"/>
      <c r="AY26" s="207"/>
      <c r="BC26" s="198"/>
      <c r="BE26" s="2">
        <f>+I26</f>
        <v>78</v>
      </c>
    </row>
    <row r="27" spans="1:60" ht="15.75" x14ac:dyDescent="0.25">
      <c r="A27" t="e">
        <f t="shared" si="9"/>
        <v>#REF!</v>
      </c>
      <c r="B27" s="186" t="s">
        <v>125</v>
      </c>
      <c r="C27" s="187"/>
      <c r="D27" s="187"/>
      <c r="E27" s="187"/>
      <c r="F27" s="187"/>
      <c r="G27" s="188" t="s">
        <v>322</v>
      </c>
      <c r="H27" s="189" t="s">
        <v>116</v>
      </c>
      <c r="I27" s="190">
        <v>20</v>
      </c>
      <c r="J27" s="190">
        <f>2500*0.85</f>
        <v>2125</v>
      </c>
      <c r="K27" s="200">
        <f>+J27/I27</f>
        <v>106.25</v>
      </c>
      <c r="L27" s="201"/>
      <c r="M27" s="201"/>
      <c r="N27" s="201"/>
      <c r="O27" s="201"/>
      <c r="P27" s="201"/>
      <c r="Q27" s="191">
        <f t="shared" si="12"/>
        <v>100</v>
      </c>
      <c r="R27" s="190">
        <f t="shared" si="7"/>
        <v>20</v>
      </c>
      <c r="S27" s="244"/>
      <c r="T27" s="244"/>
      <c r="U27" s="244">
        <v>0.13</v>
      </c>
      <c r="V27" s="244"/>
      <c r="W27" s="244"/>
      <c r="X27" s="201"/>
      <c r="Y27" s="201">
        <v>20</v>
      </c>
      <c r="Z27" s="201"/>
      <c r="AA27" s="201"/>
      <c r="AB27" s="201"/>
      <c r="AC27" s="201"/>
      <c r="AD27" s="201"/>
      <c r="AE27" s="201"/>
      <c r="AF27" s="202"/>
      <c r="AG27" s="203"/>
      <c r="AH27" s="203"/>
      <c r="AI27" s="203"/>
      <c r="AJ27" s="203"/>
      <c r="AK27" s="204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5"/>
      <c r="AX27" s="206"/>
      <c r="AY27" s="207"/>
      <c r="BC27" s="198"/>
      <c r="BG27" s="2">
        <f>+I27</f>
        <v>20</v>
      </c>
      <c r="BH27" s="2"/>
    </row>
    <row r="28" spans="1:60" ht="15.75" x14ac:dyDescent="0.25">
      <c r="A28" t="e">
        <f t="shared" si="9"/>
        <v>#REF!</v>
      </c>
      <c r="B28" s="186" t="s">
        <v>328</v>
      </c>
      <c r="C28" s="187"/>
      <c r="D28" s="187"/>
      <c r="E28" s="187"/>
      <c r="F28" s="187"/>
      <c r="G28" s="188" t="s">
        <v>322</v>
      </c>
      <c r="H28" s="189" t="s">
        <v>210</v>
      </c>
      <c r="I28" s="201">
        <f>56+91</f>
        <v>147</v>
      </c>
      <c r="J28" s="190">
        <f>+I28*100</f>
        <v>14700</v>
      </c>
      <c r="K28" s="200">
        <f t="shared" ref="K28" si="14">+J28/I28</f>
        <v>100</v>
      </c>
      <c r="L28" s="201"/>
      <c r="M28" s="201"/>
      <c r="N28" s="201"/>
      <c r="O28" s="201"/>
      <c r="P28" s="201"/>
      <c r="Q28" s="191">
        <f t="shared" si="12"/>
        <v>61.904761904761905</v>
      </c>
      <c r="R28" s="190">
        <f t="shared" si="7"/>
        <v>91</v>
      </c>
      <c r="S28" s="244"/>
      <c r="T28" s="244"/>
      <c r="U28" s="244">
        <v>1</v>
      </c>
      <c r="V28" s="244"/>
      <c r="W28" s="244"/>
      <c r="X28" s="201"/>
      <c r="Y28" s="201"/>
      <c r="Z28" s="201"/>
      <c r="AA28" s="201"/>
      <c r="AB28" s="201"/>
      <c r="AC28" s="201"/>
      <c r="AD28" s="201"/>
      <c r="AE28" s="201">
        <v>91</v>
      </c>
      <c r="AF28" s="202"/>
      <c r="AG28" s="203"/>
      <c r="AH28" s="203"/>
      <c r="AI28" s="203"/>
      <c r="AJ28" s="203"/>
      <c r="AK28" s="204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5"/>
      <c r="AX28" s="206"/>
      <c r="AY28" s="207"/>
      <c r="BC28" s="198"/>
      <c r="BG28">
        <f>+I28</f>
        <v>147</v>
      </c>
    </row>
    <row r="29" spans="1:60" ht="15.75" x14ac:dyDescent="0.25">
      <c r="B29" s="186" t="s">
        <v>52</v>
      </c>
      <c r="C29" s="187"/>
      <c r="D29" s="187"/>
      <c r="E29" s="187">
        <v>1</v>
      </c>
      <c r="F29" s="187"/>
      <c r="G29" s="188" t="s">
        <v>322</v>
      </c>
      <c r="H29" s="189" t="s">
        <v>41</v>
      </c>
      <c r="I29" s="190">
        <v>38</v>
      </c>
      <c r="J29" s="190">
        <f>+I29*K29</f>
        <v>3800</v>
      </c>
      <c r="K29" s="190">
        <v>100</v>
      </c>
      <c r="L29" s="190"/>
      <c r="M29" s="190"/>
      <c r="N29" s="190"/>
      <c r="O29" s="190"/>
      <c r="P29" s="190"/>
      <c r="Q29" s="191">
        <f>+(R29/I29)*100</f>
        <v>0</v>
      </c>
      <c r="R29" s="190">
        <f>SUM(X29:AE29)</f>
        <v>0</v>
      </c>
      <c r="S29" s="244">
        <v>0.2</v>
      </c>
      <c r="T29" s="244"/>
      <c r="U29" s="244"/>
      <c r="V29" s="244"/>
      <c r="W29" s="244"/>
      <c r="X29" s="190"/>
      <c r="Y29" s="190"/>
      <c r="Z29" s="190"/>
      <c r="AA29" s="190"/>
      <c r="AB29" s="190"/>
      <c r="AC29" s="190"/>
      <c r="AD29" s="190"/>
      <c r="AE29" s="190"/>
      <c r="AF29" s="192"/>
      <c r="AG29" s="193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5"/>
      <c r="AX29" s="196"/>
      <c r="AY29" s="197"/>
      <c r="BC29" s="198"/>
      <c r="BE29" s="2">
        <f>+I29</f>
        <v>38</v>
      </c>
    </row>
    <row r="30" spans="1:60" ht="15.75" x14ac:dyDescent="0.25">
      <c r="A30">
        <v>27</v>
      </c>
      <c r="B30" s="186" t="s">
        <v>53</v>
      </c>
      <c r="C30" s="187"/>
      <c r="D30" s="187"/>
      <c r="E30" s="187"/>
      <c r="F30" s="187"/>
      <c r="G30" s="188" t="s">
        <v>322</v>
      </c>
      <c r="H30" s="189" t="s">
        <v>41</v>
      </c>
      <c r="I30" s="190">
        <v>31</v>
      </c>
      <c r="J30" s="190">
        <f>+I30*90</f>
        <v>2790</v>
      </c>
      <c r="K30" s="190">
        <f>+J30/I30</f>
        <v>90</v>
      </c>
      <c r="L30" s="190"/>
      <c r="M30" s="190"/>
      <c r="N30" s="190"/>
      <c r="O30" s="190"/>
      <c r="P30" s="190"/>
      <c r="Q30" s="191">
        <f t="shared" ref="Q30:Q31" si="15">+(R30/I30)*100</f>
        <v>0</v>
      </c>
      <c r="R30" s="213">
        <v>0</v>
      </c>
      <c r="S30" s="245">
        <v>0.19</v>
      </c>
      <c r="T30" s="245"/>
      <c r="U30" s="245"/>
      <c r="V30" s="245"/>
      <c r="W30" s="245"/>
      <c r="X30" s="190"/>
      <c r="Y30" s="190"/>
      <c r="Z30" s="190"/>
      <c r="AA30" s="190"/>
      <c r="AB30" s="190"/>
      <c r="AC30" s="190"/>
      <c r="AD30" s="190"/>
      <c r="AE30" s="190"/>
      <c r="AF30" s="202"/>
      <c r="AG30" s="203"/>
      <c r="AH30" s="203"/>
      <c r="AI30" s="203"/>
      <c r="AJ30" s="203"/>
      <c r="AK30" s="204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5"/>
      <c r="AX30" s="206"/>
      <c r="AY30" s="207"/>
      <c r="BC30" s="198"/>
      <c r="BE30" s="2">
        <f>+I30</f>
        <v>31</v>
      </c>
    </row>
    <row r="31" spans="1:60" ht="15.75" x14ac:dyDescent="0.25">
      <c r="A31">
        <v>28</v>
      </c>
      <c r="B31" s="186" t="s">
        <v>54</v>
      </c>
      <c r="C31" s="187"/>
      <c r="D31" s="187"/>
      <c r="E31" s="187"/>
      <c r="F31" s="187"/>
      <c r="G31" s="188" t="s">
        <v>322</v>
      </c>
      <c r="H31" s="189" t="s">
        <v>41</v>
      </c>
      <c r="I31" s="190">
        <v>31</v>
      </c>
      <c r="J31" s="190">
        <f>+I31*100</f>
        <v>3100</v>
      </c>
      <c r="K31" s="200">
        <f>+J31/I31</f>
        <v>100</v>
      </c>
      <c r="L31" s="201"/>
      <c r="M31" s="201"/>
      <c r="N31" s="201"/>
      <c r="O31" s="201"/>
      <c r="P31" s="201"/>
      <c r="Q31" s="191">
        <f t="shared" si="15"/>
        <v>58.064516129032263</v>
      </c>
      <c r="R31" s="213">
        <v>18</v>
      </c>
      <c r="S31" s="245">
        <v>0.15</v>
      </c>
      <c r="T31" s="245"/>
      <c r="U31" s="245"/>
      <c r="V31" s="245"/>
      <c r="W31" s="245"/>
      <c r="X31" s="201"/>
      <c r="Y31" s="201"/>
      <c r="Z31" s="201"/>
      <c r="AA31" s="201"/>
      <c r="AB31" s="201"/>
      <c r="AC31" s="201"/>
      <c r="AD31" s="201"/>
      <c r="AE31" s="201"/>
      <c r="AF31" s="202"/>
      <c r="AG31" s="203"/>
      <c r="AH31" s="203"/>
      <c r="AI31" s="203"/>
      <c r="AJ31" s="203"/>
      <c r="AK31" s="204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5"/>
      <c r="AX31" s="206"/>
      <c r="AY31" s="207"/>
      <c r="BC31" s="198"/>
      <c r="BE31" s="2">
        <f>+I31</f>
        <v>31</v>
      </c>
    </row>
    <row r="32" spans="1:60" ht="15.75" x14ac:dyDescent="0.25">
      <c r="A32">
        <v>29</v>
      </c>
      <c r="B32" s="186" t="s">
        <v>122</v>
      </c>
      <c r="C32" s="187"/>
      <c r="D32" s="187"/>
      <c r="E32" s="187"/>
      <c r="F32" s="187"/>
      <c r="G32" s="188" t="s">
        <v>322</v>
      </c>
      <c r="H32" s="189" t="s">
        <v>116</v>
      </c>
      <c r="I32" s="190">
        <v>99</v>
      </c>
      <c r="J32" s="190">
        <f>+I32*K32</f>
        <v>3960</v>
      </c>
      <c r="K32" s="200">
        <v>40</v>
      </c>
      <c r="L32" s="201"/>
      <c r="M32" s="201"/>
      <c r="N32" s="201"/>
      <c r="O32" s="201"/>
      <c r="P32" s="201"/>
      <c r="Q32" s="191">
        <f>+(R32/I32)*100</f>
        <v>100</v>
      </c>
      <c r="R32" s="190">
        <f>+AB32</f>
        <v>99</v>
      </c>
      <c r="S32" s="244"/>
      <c r="T32" s="244"/>
      <c r="U32" s="244">
        <v>0.7</v>
      </c>
      <c r="V32" s="244"/>
      <c r="W32" s="244"/>
      <c r="X32" s="246"/>
      <c r="Y32" s="246"/>
      <c r="Z32" s="246"/>
      <c r="AA32" s="246"/>
      <c r="AB32" s="246">
        <v>99</v>
      </c>
      <c r="AC32" s="246"/>
      <c r="AD32" s="246"/>
      <c r="AE32" s="246"/>
      <c r="AF32" s="202"/>
      <c r="AG32" s="203"/>
      <c r="AH32" s="203"/>
      <c r="AI32" s="203"/>
      <c r="AJ32" s="203"/>
      <c r="AK32" s="204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5"/>
      <c r="AX32" s="206"/>
      <c r="AY32" s="207"/>
      <c r="BC32" s="198"/>
      <c r="BG32" s="2">
        <f>+I32</f>
        <v>99</v>
      </c>
      <c r="BH32" s="2"/>
    </row>
    <row r="33" spans="1:60" ht="15.75" x14ac:dyDescent="0.25">
      <c r="A33">
        <f t="shared" ref="A33:A38" si="16">+A32+1</f>
        <v>30</v>
      </c>
      <c r="B33" s="247" t="s">
        <v>25</v>
      </c>
      <c r="C33" s="217"/>
      <c r="D33" s="217"/>
      <c r="E33" s="217"/>
      <c r="F33" s="217"/>
      <c r="G33" s="188" t="s">
        <v>322</v>
      </c>
      <c r="H33" s="212" t="s">
        <v>24</v>
      </c>
      <c r="I33" s="217">
        <v>244</v>
      </c>
      <c r="J33" s="213">
        <f>10125*0.9</f>
        <v>9112.5</v>
      </c>
      <c r="K33" s="218">
        <f>+J33/I33</f>
        <v>37.346311475409834</v>
      </c>
      <c r="L33" s="217"/>
      <c r="M33" s="217"/>
      <c r="N33" s="217"/>
      <c r="O33" s="217"/>
      <c r="P33" s="217"/>
      <c r="Q33" s="214">
        <f>+(R33/I33)*100</f>
        <v>100</v>
      </c>
      <c r="R33" s="213">
        <v>244</v>
      </c>
      <c r="S33" s="244">
        <v>0.6</v>
      </c>
      <c r="T33" s="244"/>
      <c r="U33" s="244"/>
      <c r="V33" s="244"/>
      <c r="W33" s="244"/>
      <c r="X33" s="201"/>
      <c r="Y33" s="201"/>
      <c r="Z33" s="201">
        <v>232</v>
      </c>
      <c r="AA33" s="201"/>
      <c r="AB33" s="201"/>
      <c r="AC33" s="201">
        <v>12</v>
      </c>
      <c r="AD33" s="201"/>
      <c r="AE33" s="201"/>
      <c r="AF33" s="202"/>
      <c r="AG33" s="203"/>
      <c r="AH33" s="203"/>
      <c r="AI33" s="203"/>
      <c r="AJ33" s="203"/>
      <c r="AK33" s="204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5"/>
      <c r="AX33" s="206"/>
      <c r="AY33" s="207"/>
      <c r="BC33" s="198"/>
      <c r="BE33">
        <f>+I33</f>
        <v>244</v>
      </c>
    </row>
    <row r="34" spans="1:60" ht="15.75" x14ac:dyDescent="0.25">
      <c r="A34">
        <f t="shared" si="16"/>
        <v>31</v>
      </c>
      <c r="B34" s="247" t="s">
        <v>94</v>
      </c>
      <c r="C34" s="217">
        <v>1</v>
      </c>
      <c r="D34" s="217"/>
      <c r="E34" s="217">
        <v>1</v>
      </c>
      <c r="F34" s="217"/>
      <c r="G34" s="188" t="s">
        <v>322</v>
      </c>
      <c r="H34" s="212" t="s">
        <v>84</v>
      </c>
      <c r="I34" s="213">
        <v>209</v>
      </c>
      <c r="J34" s="213">
        <f>+I34*K34</f>
        <v>22990</v>
      </c>
      <c r="K34" s="218">
        <v>110</v>
      </c>
      <c r="L34" s="217"/>
      <c r="M34" s="217"/>
      <c r="N34" s="217"/>
      <c r="O34" s="217"/>
      <c r="P34" s="217"/>
      <c r="Q34" s="214">
        <f>+(R34/I34)*100</f>
        <v>38.277511961722489</v>
      </c>
      <c r="R34" s="213">
        <v>80</v>
      </c>
      <c r="S34" s="245">
        <v>4.3</v>
      </c>
      <c r="T34" s="245"/>
      <c r="U34" s="245"/>
      <c r="V34" s="245"/>
      <c r="W34" s="245"/>
      <c r="X34" s="217"/>
      <c r="Y34" s="217"/>
      <c r="Z34" s="217"/>
      <c r="AA34" s="217"/>
      <c r="AB34" s="217"/>
      <c r="AC34" s="217"/>
      <c r="AD34" s="217">
        <v>37</v>
      </c>
      <c r="AE34" s="217">
        <v>63</v>
      </c>
      <c r="AF34" s="202"/>
      <c r="AG34" s="203"/>
      <c r="AH34" s="203"/>
      <c r="AI34" s="203"/>
      <c r="AJ34" s="203"/>
      <c r="AK34" s="204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5"/>
      <c r="AX34" s="206"/>
      <c r="AY34" s="207"/>
      <c r="BC34" s="198"/>
      <c r="BE34">
        <f>+I34</f>
        <v>209</v>
      </c>
    </row>
    <row r="35" spans="1:60" ht="15.75" x14ac:dyDescent="0.25">
      <c r="A35">
        <f t="shared" si="16"/>
        <v>32</v>
      </c>
      <c r="B35" s="186" t="s">
        <v>158</v>
      </c>
      <c r="C35" s="187">
        <v>1</v>
      </c>
      <c r="D35" s="187"/>
      <c r="E35" s="187">
        <v>1</v>
      </c>
      <c r="F35" s="187"/>
      <c r="G35" s="188" t="s">
        <v>322</v>
      </c>
      <c r="H35" s="189" t="s">
        <v>152</v>
      </c>
      <c r="I35" s="190">
        <v>60</v>
      </c>
      <c r="J35" s="190">
        <f>+I35*K35</f>
        <v>5100</v>
      </c>
      <c r="K35" s="200">
        <v>85</v>
      </c>
      <c r="L35" s="201"/>
      <c r="M35" s="201"/>
      <c r="N35" s="201"/>
      <c r="O35" s="201"/>
      <c r="P35" s="201"/>
      <c r="Q35" s="191">
        <f t="shared" ref="Q35:Q36" si="17">+(R35/I35)*100</f>
        <v>100</v>
      </c>
      <c r="R35" s="213">
        <f t="shared" ref="R35" si="18">SUM(X35:AE35)</f>
        <v>60</v>
      </c>
      <c r="S35" s="245"/>
      <c r="T35" s="245">
        <v>0.35</v>
      </c>
      <c r="U35" s="245"/>
      <c r="V35" s="245"/>
      <c r="W35" s="245"/>
      <c r="X35" s="201"/>
      <c r="Y35" s="201"/>
      <c r="Z35" s="201"/>
      <c r="AA35" s="201">
        <v>60</v>
      </c>
      <c r="AB35" s="201"/>
      <c r="AC35" s="201">
        <v>0</v>
      </c>
      <c r="AD35" s="201"/>
      <c r="AE35" s="201"/>
      <c r="AF35" s="202"/>
      <c r="AG35" s="203"/>
      <c r="AH35" s="203"/>
      <c r="AI35" s="203"/>
      <c r="AJ35" s="203"/>
      <c r="AK35" s="204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5"/>
      <c r="AX35" s="206"/>
      <c r="AY35" s="207"/>
      <c r="BC35" s="198"/>
      <c r="BF35" s="2">
        <f>+I35</f>
        <v>60</v>
      </c>
    </row>
    <row r="36" spans="1:60" ht="15.75" x14ac:dyDescent="0.25">
      <c r="A36">
        <f t="shared" si="16"/>
        <v>33</v>
      </c>
      <c r="B36" s="186" t="s">
        <v>108</v>
      </c>
      <c r="C36" s="187"/>
      <c r="D36" s="187"/>
      <c r="E36" s="187"/>
      <c r="F36" s="187"/>
      <c r="G36" s="188" t="s">
        <v>322</v>
      </c>
      <c r="H36" s="189" t="s">
        <v>84</v>
      </c>
      <c r="I36" s="190">
        <v>328</v>
      </c>
      <c r="J36" s="190">
        <f>+I36*K36</f>
        <v>28208</v>
      </c>
      <c r="K36" s="200">
        <v>86</v>
      </c>
      <c r="L36" s="201"/>
      <c r="M36" s="201"/>
      <c r="N36" s="201"/>
      <c r="O36" s="201"/>
      <c r="P36" s="201"/>
      <c r="Q36" s="191">
        <f t="shared" si="17"/>
        <v>4.8780487804878048</v>
      </c>
      <c r="R36" s="213">
        <v>16</v>
      </c>
      <c r="S36" s="245">
        <v>9.5</v>
      </c>
      <c r="T36" s="245"/>
      <c r="U36" s="245"/>
      <c r="V36" s="245"/>
      <c r="W36" s="245"/>
      <c r="X36" s="201"/>
      <c r="Y36" s="201"/>
      <c r="Z36" s="201"/>
      <c r="AA36" s="201"/>
      <c r="AB36" s="201"/>
      <c r="AC36" s="201"/>
      <c r="AD36" s="201"/>
      <c r="AE36" s="201"/>
      <c r="AF36" s="202"/>
      <c r="AG36" s="203"/>
      <c r="AH36" s="203"/>
      <c r="AI36" s="203"/>
      <c r="AJ36" s="203"/>
      <c r="AK36" s="204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5"/>
      <c r="AX36" s="206"/>
      <c r="AY36" s="207"/>
      <c r="BC36" s="198"/>
      <c r="BE36" s="2">
        <f>+I36</f>
        <v>328</v>
      </c>
    </row>
    <row r="37" spans="1:60" ht="15.75" x14ac:dyDescent="0.25">
      <c r="A37">
        <f t="shared" si="16"/>
        <v>34</v>
      </c>
      <c r="B37" s="247" t="s">
        <v>369</v>
      </c>
      <c r="C37" s="210">
        <v>1</v>
      </c>
      <c r="D37" s="210">
        <v>1</v>
      </c>
      <c r="E37" s="210"/>
      <c r="F37" s="210"/>
      <c r="G37" s="188" t="s">
        <v>322</v>
      </c>
      <c r="H37" s="212" t="s">
        <v>70</v>
      </c>
      <c r="I37" s="217">
        <v>258</v>
      </c>
      <c r="J37" s="213">
        <v>21000</v>
      </c>
      <c r="K37" s="218">
        <v>46</v>
      </c>
      <c r="L37" s="217"/>
      <c r="M37" s="217"/>
      <c r="N37" s="217"/>
      <c r="O37" s="217"/>
      <c r="P37" s="217"/>
      <c r="Q37" s="214">
        <f>+(R37/I37)*100</f>
        <v>100</v>
      </c>
      <c r="R37" s="190">
        <v>258</v>
      </c>
      <c r="S37" s="245"/>
      <c r="T37" s="245">
        <v>4.2</v>
      </c>
      <c r="U37" s="245"/>
      <c r="V37" s="245"/>
      <c r="W37" s="245"/>
      <c r="X37" s="217"/>
      <c r="Y37" s="217"/>
      <c r="Z37" s="217">
        <v>377</v>
      </c>
      <c r="AA37" s="217"/>
      <c r="AB37" s="217"/>
      <c r="AC37" s="217">
        <v>13</v>
      </c>
      <c r="AD37" s="217"/>
      <c r="AE37" s="217"/>
      <c r="AF37" s="202"/>
      <c r="AG37" s="203"/>
      <c r="AH37" s="203"/>
      <c r="AI37" s="203"/>
      <c r="AJ37" s="203"/>
      <c r="AK37" s="204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5"/>
      <c r="AX37" s="206"/>
      <c r="AY37" s="207"/>
      <c r="BC37" s="198"/>
      <c r="BF37">
        <f>+I37</f>
        <v>258</v>
      </c>
    </row>
    <row r="38" spans="1:60" ht="15.75" x14ac:dyDescent="0.25">
      <c r="A38">
        <f t="shared" si="16"/>
        <v>35</v>
      </c>
      <c r="B38" s="186" t="s">
        <v>121</v>
      </c>
      <c r="C38" s="201"/>
      <c r="D38" s="201"/>
      <c r="E38" s="201"/>
      <c r="F38" s="201"/>
      <c r="G38" s="188" t="s">
        <v>322</v>
      </c>
      <c r="H38" s="189" t="s">
        <v>116</v>
      </c>
      <c r="I38" s="201">
        <v>141</v>
      </c>
      <c r="J38" s="190">
        <f>80*I38</f>
        <v>11280</v>
      </c>
      <c r="K38" s="200">
        <f t="shared" ref="K38:K39" si="19">+J38/I38</f>
        <v>80</v>
      </c>
      <c r="L38" s="201"/>
      <c r="M38" s="201"/>
      <c r="N38" s="201"/>
      <c r="O38" s="201"/>
      <c r="P38" s="201"/>
      <c r="Q38" s="191">
        <f t="shared" ref="Q38" si="20">+(R38/I38)*100</f>
        <v>100</v>
      </c>
      <c r="R38" s="213">
        <f t="shared" ref="R38" si="21">SUM(X38:AE38)</f>
        <v>141</v>
      </c>
      <c r="S38" s="245"/>
      <c r="T38" s="245"/>
      <c r="U38" s="245">
        <v>1</v>
      </c>
      <c r="V38" s="245"/>
      <c r="W38" s="245"/>
      <c r="X38" s="201"/>
      <c r="Y38" s="201"/>
      <c r="Z38" s="201"/>
      <c r="AA38" s="201">
        <v>137</v>
      </c>
      <c r="AB38" s="201"/>
      <c r="AC38" s="201">
        <v>4</v>
      </c>
      <c r="AD38" s="201"/>
      <c r="AE38" s="201"/>
      <c r="AF38" s="202"/>
      <c r="AG38" s="203"/>
      <c r="AH38" s="203"/>
      <c r="AI38" s="203"/>
      <c r="AJ38" s="203"/>
      <c r="AK38" s="204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5"/>
      <c r="AX38" s="206"/>
      <c r="AY38" s="207"/>
      <c r="BC38" s="198"/>
      <c r="BG38">
        <f>+I38</f>
        <v>141</v>
      </c>
    </row>
    <row r="39" spans="1:60" ht="15.75" x14ac:dyDescent="0.25">
      <c r="B39" s="186" t="s">
        <v>129</v>
      </c>
      <c r="C39" s="201"/>
      <c r="D39" s="201"/>
      <c r="E39" s="201"/>
      <c r="F39" s="201"/>
      <c r="G39" s="188" t="s">
        <v>322</v>
      </c>
      <c r="H39" s="189" t="s">
        <v>116</v>
      </c>
      <c r="I39" s="201">
        <v>15</v>
      </c>
      <c r="J39" s="190">
        <v>2000</v>
      </c>
      <c r="K39" s="200">
        <f t="shared" si="19"/>
        <v>133.33333333333334</v>
      </c>
      <c r="L39" s="201"/>
      <c r="M39" s="201"/>
      <c r="N39" s="201"/>
      <c r="O39" s="201"/>
      <c r="P39" s="201"/>
      <c r="Q39" s="191">
        <v>0</v>
      </c>
      <c r="R39" s="213">
        <v>0</v>
      </c>
      <c r="S39" s="245"/>
      <c r="T39" s="245"/>
      <c r="U39" s="245">
        <v>1</v>
      </c>
      <c r="V39" s="245"/>
      <c r="W39" s="245"/>
      <c r="X39" s="201"/>
      <c r="Y39" s="201"/>
      <c r="Z39" s="201"/>
      <c r="AA39" s="201"/>
      <c r="AB39" s="201"/>
      <c r="AC39" s="201"/>
      <c r="AD39" s="201"/>
      <c r="AE39" s="201"/>
      <c r="AF39" s="202"/>
      <c r="AG39" s="203"/>
      <c r="AH39" s="203"/>
      <c r="AI39" s="203"/>
      <c r="AJ39" s="203"/>
      <c r="AK39" s="204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5"/>
      <c r="AX39" s="206"/>
      <c r="AY39" s="207"/>
      <c r="BC39" s="198"/>
      <c r="BG39">
        <f>+I39</f>
        <v>15</v>
      </c>
    </row>
    <row r="40" spans="1:60" ht="15.75" x14ac:dyDescent="0.25">
      <c r="A40">
        <f>+A38+1</f>
        <v>36</v>
      </c>
      <c r="B40" s="186" t="s">
        <v>370</v>
      </c>
      <c r="C40" s="187"/>
      <c r="D40" s="187"/>
      <c r="E40" s="187">
        <v>1</v>
      </c>
      <c r="F40" s="187"/>
      <c r="G40" s="188" t="s">
        <v>322</v>
      </c>
      <c r="H40" s="189" t="s">
        <v>152</v>
      </c>
      <c r="I40" s="201">
        <v>199</v>
      </c>
      <c r="J40" s="190">
        <f>+I40*K40</f>
        <v>16517</v>
      </c>
      <c r="K40" s="200">
        <v>83</v>
      </c>
      <c r="L40" s="201"/>
      <c r="M40" s="201"/>
      <c r="N40" s="201"/>
      <c r="O40" s="201"/>
      <c r="P40" s="201"/>
      <c r="Q40" s="191">
        <f>+(R40/I40)*100</f>
        <v>24.623115577889447</v>
      </c>
      <c r="R40" s="190">
        <f>SUM(X40:BC40)</f>
        <v>49</v>
      </c>
      <c r="S40" s="244"/>
      <c r="T40" s="244">
        <v>2.2999999999999998</v>
      </c>
      <c r="U40" s="244"/>
      <c r="V40" s="244"/>
      <c r="W40" s="244"/>
      <c r="X40" s="201">
        <v>40</v>
      </c>
      <c r="Y40" s="201"/>
      <c r="Z40" s="201"/>
      <c r="AA40" s="201"/>
      <c r="AB40" s="201"/>
      <c r="AC40" s="201">
        <v>9</v>
      </c>
      <c r="AD40" s="201"/>
      <c r="AE40" s="201"/>
      <c r="AF40" s="202"/>
      <c r="AG40" s="203"/>
      <c r="AH40" s="203"/>
      <c r="AI40" s="203"/>
      <c r="AJ40" s="203"/>
      <c r="AK40" s="204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5"/>
      <c r="AX40" s="206"/>
      <c r="AY40" s="207"/>
      <c r="BC40" s="198"/>
      <c r="BF40">
        <f>+I40</f>
        <v>199</v>
      </c>
    </row>
    <row r="41" spans="1:60" ht="18.75" x14ac:dyDescent="0.3">
      <c r="A41" t="e">
        <f>+#REF!+1</f>
        <v>#REF!</v>
      </c>
      <c r="B41" s="186" t="s">
        <v>371</v>
      </c>
      <c r="C41" s="187">
        <v>1</v>
      </c>
      <c r="D41" s="187"/>
      <c r="E41" s="187">
        <v>1</v>
      </c>
      <c r="F41" s="187"/>
      <c r="G41" s="188" t="s">
        <v>322</v>
      </c>
      <c r="H41" s="189" t="s">
        <v>70</v>
      </c>
      <c r="I41" s="201">
        <v>60</v>
      </c>
      <c r="J41" s="190">
        <f>+I41*K41</f>
        <v>4800</v>
      </c>
      <c r="K41" s="200">
        <v>80</v>
      </c>
      <c r="L41" s="201"/>
      <c r="M41" s="201"/>
      <c r="N41" s="201"/>
      <c r="O41" s="201"/>
      <c r="P41" s="201"/>
      <c r="Q41" s="191">
        <f>+(R41/I41)*100</f>
        <v>100</v>
      </c>
      <c r="R41" s="213">
        <v>60</v>
      </c>
      <c r="S41" s="245"/>
      <c r="T41" s="245">
        <v>1.5</v>
      </c>
      <c r="U41" s="245"/>
      <c r="V41" s="245"/>
      <c r="W41" s="245"/>
      <c r="X41" s="201"/>
      <c r="Y41" s="201"/>
      <c r="Z41" s="201">
        <v>100</v>
      </c>
      <c r="AA41" s="201">
        <v>60</v>
      </c>
      <c r="AB41" s="201"/>
      <c r="AC41" s="201"/>
      <c r="AD41" s="201"/>
      <c r="AE41" s="201"/>
      <c r="AF41" s="248"/>
      <c r="AG41" s="249"/>
      <c r="AH41" s="250"/>
      <c r="AI41" s="249"/>
      <c r="AJ41" s="250"/>
      <c r="AK41" s="249"/>
      <c r="AL41" s="250"/>
      <c r="AM41" s="249"/>
      <c r="AN41" s="250"/>
      <c r="AO41" s="249"/>
      <c r="AP41" s="250"/>
      <c r="AQ41" s="249"/>
      <c r="AR41" s="250"/>
      <c r="AS41" s="249"/>
      <c r="AT41" s="251"/>
      <c r="AU41" s="249"/>
      <c r="AV41" s="250"/>
      <c r="AW41" s="252"/>
      <c r="AX41" s="253"/>
      <c r="AY41" s="197"/>
      <c r="BC41" s="198"/>
      <c r="BF41">
        <f>+I41</f>
        <v>60</v>
      </c>
    </row>
    <row r="42" spans="1:60" ht="18.75" x14ac:dyDescent="0.3">
      <c r="A42" t="e">
        <f>+A41+1</f>
        <v>#REF!</v>
      </c>
      <c r="B42" s="186" t="s">
        <v>217</v>
      </c>
      <c r="C42" s="187"/>
      <c r="D42" s="187"/>
      <c r="E42" s="187"/>
      <c r="F42" s="187"/>
      <c r="G42" s="188" t="s">
        <v>322</v>
      </c>
      <c r="H42" s="189" t="s">
        <v>210</v>
      </c>
      <c r="I42" s="201">
        <v>95</v>
      </c>
      <c r="J42" s="190">
        <f>+I42*80</f>
        <v>7600</v>
      </c>
      <c r="K42" s="200">
        <f>+J42/I42</f>
        <v>80</v>
      </c>
      <c r="L42" s="201"/>
      <c r="M42" s="201"/>
      <c r="N42" s="201"/>
      <c r="O42" s="201"/>
      <c r="P42" s="201"/>
      <c r="Q42" s="191">
        <f>+(R42/I42)*100</f>
        <v>0</v>
      </c>
      <c r="R42" s="213">
        <v>0</v>
      </c>
      <c r="S42" s="245"/>
      <c r="T42" s="245"/>
      <c r="U42" s="245">
        <v>6.4</v>
      </c>
      <c r="V42" s="245"/>
      <c r="W42" s="245"/>
      <c r="X42" s="201"/>
      <c r="Y42" s="201"/>
      <c r="Z42" s="201"/>
      <c r="AA42" s="201"/>
      <c r="AB42" s="201"/>
      <c r="AC42" s="201">
        <v>6</v>
      </c>
      <c r="AD42" s="201"/>
      <c r="AE42" s="201">
        <v>108</v>
      </c>
      <c r="AF42" s="248"/>
      <c r="AG42" s="249"/>
      <c r="AH42" s="250"/>
      <c r="AI42" s="249"/>
      <c r="AJ42" s="250"/>
      <c r="AK42" s="249"/>
      <c r="AL42" s="250"/>
      <c r="AM42" s="249"/>
      <c r="AN42" s="250"/>
      <c r="AO42" s="249"/>
      <c r="AP42" s="250"/>
      <c r="AQ42" s="249"/>
      <c r="AR42" s="250"/>
      <c r="AS42" s="249"/>
      <c r="AT42" s="251"/>
      <c r="AU42" s="249"/>
      <c r="AV42" s="250"/>
      <c r="AW42" s="252"/>
      <c r="AX42" s="253"/>
      <c r="AY42" s="197"/>
      <c r="BC42" s="198">
        <v>40</v>
      </c>
      <c r="BG42">
        <f>+I42</f>
        <v>95</v>
      </c>
    </row>
    <row r="43" spans="1:60" ht="18.75" x14ac:dyDescent="0.3">
      <c r="B43" s="186" t="s">
        <v>214</v>
      </c>
      <c r="C43" s="199">
        <v>1</v>
      </c>
      <c r="D43" s="199">
        <v>1</v>
      </c>
      <c r="E43" s="199"/>
      <c r="F43" s="199"/>
      <c r="G43" s="188" t="s">
        <v>322</v>
      </c>
      <c r="H43" s="189" t="s">
        <v>210</v>
      </c>
      <c r="I43" s="190">
        <v>12</v>
      </c>
      <c r="J43" s="190">
        <v>10000</v>
      </c>
      <c r="K43" s="190">
        <v>200</v>
      </c>
      <c r="L43" s="190"/>
      <c r="M43" s="190"/>
      <c r="N43" s="190"/>
      <c r="O43" s="190"/>
      <c r="P43" s="190"/>
      <c r="Q43" s="191">
        <f t="shared" ref="Q43" si="22">+(R43/I43)*100</f>
        <v>0</v>
      </c>
      <c r="R43" s="190">
        <v>0</v>
      </c>
      <c r="S43" s="245"/>
      <c r="T43" s="245"/>
      <c r="U43" s="245">
        <v>0.6</v>
      </c>
      <c r="V43" s="245"/>
      <c r="W43" s="245"/>
      <c r="X43" s="201"/>
      <c r="Y43" s="201"/>
      <c r="Z43" s="201"/>
      <c r="AA43" s="201"/>
      <c r="AB43" s="201"/>
      <c r="AC43" s="201"/>
      <c r="AD43" s="201"/>
      <c r="AE43" s="201"/>
      <c r="AF43" s="248"/>
      <c r="AG43" s="249"/>
      <c r="AH43" s="250"/>
      <c r="AI43" s="249"/>
      <c r="AJ43" s="250"/>
      <c r="AK43" s="249"/>
      <c r="AL43" s="250"/>
      <c r="AM43" s="249"/>
      <c r="AN43" s="250"/>
      <c r="AO43" s="249"/>
      <c r="AP43" s="250"/>
      <c r="AQ43" s="249"/>
      <c r="AR43" s="250"/>
      <c r="AS43" s="249"/>
      <c r="AT43" s="251"/>
      <c r="AU43" s="249"/>
      <c r="AV43" s="250"/>
      <c r="AW43" s="252"/>
      <c r="AX43" s="253"/>
      <c r="AY43" s="197"/>
      <c r="BC43" s="198"/>
      <c r="BG43" s="2">
        <f>+I43</f>
        <v>12</v>
      </c>
      <c r="BH43" s="2"/>
    </row>
    <row r="44" spans="1:60" ht="18.75" x14ac:dyDescent="0.3">
      <c r="A44" t="e">
        <f>+A42+1</f>
        <v>#REF!</v>
      </c>
      <c r="B44" s="186" t="s">
        <v>160</v>
      </c>
      <c r="C44" s="187">
        <v>1</v>
      </c>
      <c r="D44" s="187"/>
      <c r="E44" s="187">
        <v>1</v>
      </c>
      <c r="F44" s="187"/>
      <c r="G44" s="188" t="s">
        <v>322</v>
      </c>
      <c r="H44" s="189" t="s">
        <v>152</v>
      </c>
      <c r="I44" s="201">
        <v>99</v>
      </c>
      <c r="J44" s="190">
        <f>+I44*K44</f>
        <v>7425</v>
      </c>
      <c r="K44" s="200">
        <v>75</v>
      </c>
      <c r="L44" s="201"/>
      <c r="M44" s="201"/>
      <c r="N44" s="201"/>
      <c r="O44" s="201"/>
      <c r="P44" s="201"/>
      <c r="Q44" s="191">
        <f>+(R44/I44)*100</f>
        <v>100</v>
      </c>
      <c r="R44" s="190">
        <v>99</v>
      </c>
      <c r="S44" s="244"/>
      <c r="T44" s="244"/>
      <c r="U44" s="244">
        <v>2.4</v>
      </c>
      <c r="V44" s="244"/>
      <c r="W44" s="244"/>
      <c r="X44" s="201"/>
      <c r="Y44" s="201"/>
      <c r="Z44" s="201"/>
      <c r="AA44" s="201"/>
      <c r="AB44" s="201" t="s">
        <v>372</v>
      </c>
      <c r="AC44" s="201">
        <v>20</v>
      </c>
      <c r="AD44" s="201"/>
      <c r="AE44" s="201">
        <v>67</v>
      </c>
      <c r="AF44" s="248"/>
      <c r="AG44" s="249"/>
      <c r="AH44" s="250"/>
      <c r="AI44" s="249"/>
      <c r="AJ44" s="250"/>
      <c r="AK44" s="249"/>
      <c r="AL44" s="250"/>
      <c r="AM44" s="249"/>
      <c r="AN44" s="250"/>
      <c r="AO44" s="249"/>
      <c r="AP44" s="250"/>
      <c r="AQ44" s="249"/>
      <c r="AR44" s="250"/>
      <c r="AS44" s="249"/>
      <c r="AT44" s="251"/>
      <c r="AU44" s="249"/>
      <c r="AV44" s="250"/>
      <c r="AW44" s="252"/>
      <c r="AX44" s="253"/>
      <c r="AY44" s="197"/>
      <c r="BC44" s="198"/>
      <c r="BG44">
        <f>+I44</f>
        <v>99</v>
      </c>
    </row>
    <row r="45" spans="1:60" ht="18.75" x14ac:dyDescent="0.3">
      <c r="B45" s="186" t="s">
        <v>123</v>
      </c>
      <c r="C45" s="201"/>
      <c r="D45" s="201"/>
      <c r="E45" s="201"/>
      <c r="F45" s="201"/>
      <c r="G45" s="188" t="s">
        <v>322</v>
      </c>
      <c r="H45" s="189" t="s">
        <v>116</v>
      </c>
      <c r="I45" s="201">
        <v>69</v>
      </c>
      <c r="J45" s="190">
        <f>80*I45</f>
        <v>5520</v>
      </c>
      <c r="K45" s="200">
        <f>+J45/I45</f>
        <v>80</v>
      </c>
      <c r="L45" s="201"/>
      <c r="M45" s="201"/>
      <c r="N45" s="201"/>
      <c r="O45" s="201"/>
      <c r="P45" s="201"/>
      <c r="Q45" s="191">
        <f t="shared" ref="Q45:Q46" si="23">+(R45/I45)*100</f>
        <v>0</v>
      </c>
      <c r="R45" s="190">
        <v>0</v>
      </c>
      <c r="S45" s="244"/>
      <c r="T45" s="244"/>
      <c r="U45" s="244">
        <v>0.41</v>
      </c>
      <c r="V45" s="244"/>
      <c r="W45" s="244"/>
      <c r="X45" s="201"/>
      <c r="Y45" s="201"/>
      <c r="Z45" s="201"/>
      <c r="AA45" s="201"/>
      <c r="AB45" s="201"/>
      <c r="AC45" s="201"/>
      <c r="AD45" s="201"/>
      <c r="AE45" s="201"/>
      <c r="AF45" s="248"/>
      <c r="AG45" s="249"/>
      <c r="AH45" s="250"/>
      <c r="AI45" s="249"/>
      <c r="AJ45" s="250"/>
      <c r="AK45" s="249"/>
      <c r="AL45" s="250"/>
      <c r="AM45" s="249"/>
      <c r="AN45" s="250"/>
      <c r="AO45" s="249"/>
      <c r="AP45" s="250"/>
      <c r="AQ45" s="249"/>
      <c r="AR45" s="250"/>
      <c r="AS45" s="249"/>
      <c r="AT45" s="251"/>
      <c r="AU45" s="249"/>
      <c r="AV45" s="250"/>
      <c r="AW45" s="252"/>
      <c r="AX45" s="253"/>
      <c r="AY45" s="197"/>
      <c r="BC45" s="198"/>
      <c r="BG45">
        <f>+I45</f>
        <v>69</v>
      </c>
    </row>
    <row r="46" spans="1:60" ht="15.75" x14ac:dyDescent="0.25">
      <c r="A46" t="e">
        <f>+A44+1</f>
        <v>#REF!</v>
      </c>
      <c r="B46" s="186" t="s">
        <v>373</v>
      </c>
      <c r="C46" s="187"/>
      <c r="D46" s="187"/>
      <c r="E46" s="187">
        <v>1</v>
      </c>
      <c r="F46" s="187"/>
      <c r="G46" s="188" t="s">
        <v>322</v>
      </c>
      <c r="H46" s="189" t="s">
        <v>8</v>
      </c>
      <c r="I46" s="201">
        <f>206+69</f>
        <v>275</v>
      </c>
      <c r="J46" s="190">
        <f>+I46*K46</f>
        <v>20625</v>
      </c>
      <c r="K46" s="200">
        <v>75</v>
      </c>
      <c r="L46" s="201"/>
      <c r="M46" s="201"/>
      <c r="N46" s="201"/>
      <c r="O46" s="201"/>
      <c r="P46" s="201"/>
      <c r="Q46" s="191">
        <f t="shared" si="23"/>
        <v>25.09090909090909</v>
      </c>
      <c r="R46" s="190">
        <v>69</v>
      </c>
      <c r="S46" s="244">
        <v>1.2</v>
      </c>
      <c r="T46" s="244"/>
      <c r="U46" s="244"/>
      <c r="V46" s="244"/>
      <c r="W46" s="244"/>
      <c r="X46" s="201">
        <f>+I46*0.2</f>
        <v>55</v>
      </c>
      <c r="Y46" s="201"/>
      <c r="Z46" s="201"/>
      <c r="AA46" s="201"/>
      <c r="AB46" s="201"/>
      <c r="AC46" s="200">
        <f>+I46*0.05</f>
        <v>13.75</v>
      </c>
      <c r="AD46" s="201"/>
      <c r="AE46" s="201"/>
      <c r="AF46" s="206"/>
      <c r="AG46" s="198"/>
      <c r="AH46" s="198"/>
      <c r="AI46" s="198"/>
      <c r="AJ46" s="198"/>
      <c r="AK46" s="198"/>
      <c r="AL46" s="198"/>
      <c r="AM46" s="254"/>
      <c r="AN46" s="198"/>
      <c r="AO46" s="255"/>
      <c r="AP46" s="198"/>
      <c r="AQ46" s="198"/>
      <c r="AR46" s="256"/>
      <c r="AS46" s="198"/>
      <c r="AT46" s="198"/>
      <c r="AU46" s="198"/>
      <c r="AV46" s="198"/>
      <c r="AW46" s="257"/>
      <c r="AX46" s="206"/>
      <c r="AY46" s="187"/>
      <c r="BC46" s="198"/>
      <c r="BE46">
        <f>+I46</f>
        <v>275</v>
      </c>
    </row>
    <row r="47" spans="1:60" ht="16.5" thickBot="1" x14ac:dyDescent="0.3">
      <c r="B47" s="186"/>
      <c r="C47" s="201"/>
      <c r="D47" s="201"/>
      <c r="E47" s="201"/>
      <c r="F47" s="201"/>
      <c r="G47" s="188"/>
      <c r="H47" s="189"/>
      <c r="I47" s="258">
        <f>SUM(I16:I46)</f>
        <v>4062</v>
      </c>
      <c r="J47" s="190">
        <f>SUM(J16:J46)</f>
        <v>364562.54000000004</v>
      </c>
      <c r="K47" s="200">
        <f>+J47/I47</f>
        <v>89.749517479074356</v>
      </c>
      <c r="L47" s="201"/>
      <c r="M47" s="201"/>
      <c r="N47" s="201"/>
      <c r="O47" s="201"/>
      <c r="P47" s="201"/>
      <c r="Q47" s="191">
        <f>+(R47/I47)*100</f>
        <v>38.577055637616937</v>
      </c>
      <c r="R47" s="190">
        <f>SUM(R16:R46)</f>
        <v>1567</v>
      </c>
      <c r="S47" s="244"/>
      <c r="T47" s="244"/>
      <c r="U47" s="244"/>
      <c r="V47" s="244"/>
      <c r="W47" s="244"/>
      <c r="X47" s="201"/>
      <c r="Y47" s="201"/>
      <c r="Z47" s="201"/>
      <c r="AA47" s="201"/>
      <c r="AB47" s="201"/>
      <c r="AC47" s="201"/>
      <c r="AD47" s="201"/>
      <c r="AE47" s="201"/>
      <c r="AF47" s="202"/>
      <c r="AG47" s="203"/>
      <c r="AH47" s="203"/>
      <c r="AI47" s="203"/>
      <c r="AJ47" s="203"/>
      <c r="AK47" s="204"/>
      <c r="AL47" s="203"/>
      <c r="AM47" s="203"/>
      <c r="AN47" s="203"/>
      <c r="AO47" s="203"/>
      <c r="AP47" s="203"/>
      <c r="AQ47" s="203"/>
      <c r="AR47" s="203"/>
      <c r="AS47" s="203"/>
      <c r="AT47" s="202"/>
      <c r="AU47" s="203"/>
      <c r="AV47" s="203"/>
      <c r="AW47" s="205"/>
      <c r="AX47" s="259"/>
      <c r="AY47" s="207"/>
      <c r="BC47" s="198"/>
    </row>
    <row r="48" spans="1:60" ht="19.5" thickBot="1" x14ac:dyDescent="0.35">
      <c r="B48" s="185" t="s">
        <v>374</v>
      </c>
      <c r="C48" s="201"/>
      <c r="D48" s="201"/>
      <c r="E48" s="201"/>
      <c r="F48" s="201"/>
      <c r="G48" s="188"/>
      <c r="H48" s="189"/>
      <c r="I48" s="190"/>
      <c r="J48" s="190"/>
      <c r="K48" s="200"/>
      <c r="L48" s="201"/>
      <c r="M48" s="201"/>
      <c r="N48" s="201"/>
      <c r="O48" s="201"/>
      <c r="P48" s="201"/>
      <c r="Q48" s="191"/>
      <c r="R48" s="213"/>
      <c r="S48" s="233"/>
      <c r="T48" s="233"/>
      <c r="U48" s="233"/>
      <c r="V48" s="233"/>
      <c r="W48" s="233"/>
      <c r="X48" s="201"/>
      <c r="Y48" s="201"/>
      <c r="Z48" s="201"/>
      <c r="AA48" s="201"/>
      <c r="AB48" s="201"/>
      <c r="AC48" s="201"/>
      <c r="AD48" s="201"/>
      <c r="AE48" s="201"/>
      <c r="AF48" s="202"/>
      <c r="AG48" s="203"/>
      <c r="AH48" s="203"/>
      <c r="AI48" s="203"/>
      <c r="AJ48" s="203"/>
      <c r="AK48" s="204"/>
      <c r="AL48" s="203"/>
      <c r="AM48" s="203"/>
      <c r="AN48" s="203"/>
      <c r="AO48" s="203"/>
      <c r="AP48" s="203"/>
      <c r="AQ48" s="203"/>
      <c r="AR48" s="203"/>
      <c r="AS48" s="203"/>
      <c r="AT48" s="202"/>
      <c r="AU48" s="203"/>
      <c r="AV48" s="203"/>
      <c r="AW48" s="205"/>
      <c r="AX48" s="259"/>
      <c r="AY48" s="207"/>
      <c r="BC48" s="198"/>
    </row>
    <row r="49" spans="1:59" ht="15.75" customHeight="1" x14ac:dyDescent="0.3">
      <c r="A49">
        <v>42</v>
      </c>
      <c r="B49" s="186" t="s">
        <v>7</v>
      </c>
      <c r="C49" s="187">
        <v>1</v>
      </c>
      <c r="D49" s="187"/>
      <c r="E49" s="187">
        <v>1</v>
      </c>
      <c r="F49" s="187"/>
      <c r="G49" s="188" t="s">
        <v>375</v>
      </c>
      <c r="H49" s="189" t="s">
        <v>8</v>
      </c>
      <c r="I49" s="190">
        <f>114+74</f>
        <v>188</v>
      </c>
      <c r="J49" s="190">
        <f>+I49*K49</f>
        <v>18800</v>
      </c>
      <c r="K49" s="190">
        <v>100</v>
      </c>
      <c r="L49" s="190"/>
      <c r="M49" s="190"/>
      <c r="N49" s="190"/>
      <c r="O49" s="190"/>
      <c r="P49" s="190"/>
      <c r="Q49" s="191">
        <f>+(R49/I49)*100</f>
        <v>39.361702127659576</v>
      </c>
      <c r="R49" s="213">
        <f t="shared" ref="R49:R60" si="24">SUM(X49:AE49)</f>
        <v>74</v>
      </c>
      <c r="S49" s="245">
        <v>1.26</v>
      </c>
      <c r="T49" s="245"/>
      <c r="U49" s="245"/>
      <c r="V49" s="245"/>
      <c r="W49" s="245"/>
      <c r="X49" s="190"/>
      <c r="Y49" s="190"/>
      <c r="Z49" s="190">
        <v>34</v>
      </c>
      <c r="AA49" s="190"/>
      <c r="AB49" s="190"/>
      <c r="AC49" s="190">
        <v>40</v>
      </c>
      <c r="AD49" s="190"/>
      <c r="AE49" s="190"/>
      <c r="AF49" s="248"/>
      <c r="AG49" s="249"/>
      <c r="AH49" s="250"/>
      <c r="AI49" s="249"/>
      <c r="AJ49" s="250"/>
      <c r="AK49" s="249"/>
      <c r="AL49" s="250"/>
      <c r="AM49" s="249"/>
      <c r="AN49" s="250"/>
      <c r="AO49" s="249"/>
      <c r="AP49" s="250"/>
      <c r="AQ49" s="249"/>
      <c r="AR49" s="250"/>
      <c r="AS49" s="249"/>
      <c r="AT49" s="251"/>
      <c r="AU49" s="249"/>
      <c r="AV49" s="250"/>
      <c r="AW49" s="252"/>
      <c r="AX49" s="253"/>
      <c r="AY49" s="197"/>
      <c r="BC49" s="198"/>
      <c r="BE49" s="2">
        <f>+I49</f>
        <v>188</v>
      </c>
    </row>
    <row r="50" spans="1:59" ht="15.75" customHeight="1" x14ac:dyDescent="0.3">
      <c r="B50" s="186" t="s">
        <v>94</v>
      </c>
      <c r="C50" s="187"/>
      <c r="D50" s="187"/>
      <c r="E50" s="187"/>
      <c r="F50" s="187"/>
      <c r="G50" s="188" t="s">
        <v>375</v>
      </c>
      <c r="H50" s="189" t="s">
        <v>84</v>
      </c>
      <c r="I50" s="190">
        <f>112+37</f>
        <v>149</v>
      </c>
      <c r="J50" s="190">
        <f>+I50*K50</f>
        <v>16390</v>
      </c>
      <c r="K50" s="190">
        <v>110</v>
      </c>
      <c r="L50" s="190"/>
      <c r="M50" s="190"/>
      <c r="N50" s="190"/>
      <c r="O50" s="190"/>
      <c r="P50" s="190"/>
      <c r="Q50" s="191">
        <f>+(R50/I50)*100</f>
        <v>24.832214765100673</v>
      </c>
      <c r="R50" s="213">
        <v>37</v>
      </c>
      <c r="S50" s="245">
        <v>0</v>
      </c>
      <c r="T50" s="245"/>
      <c r="U50" s="245"/>
      <c r="V50" s="245"/>
      <c r="W50" s="245"/>
      <c r="X50" s="190"/>
      <c r="Y50" s="190"/>
      <c r="Z50" s="190"/>
      <c r="AA50" s="190"/>
      <c r="AB50" s="190"/>
      <c r="AC50" s="190"/>
      <c r="AD50" s="190"/>
      <c r="AE50" s="190"/>
      <c r="AF50" s="248"/>
      <c r="AG50" s="249"/>
      <c r="AH50" s="250"/>
      <c r="AI50" s="249"/>
      <c r="AJ50" s="250"/>
      <c r="AK50" s="249"/>
      <c r="AL50" s="250"/>
      <c r="AM50" s="249"/>
      <c r="AN50" s="250"/>
      <c r="AO50" s="249"/>
      <c r="AP50" s="250"/>
      <c r="AQ50" s="249"/>
      <c r="AR50" s="250"/>
      <c r="AS50" s="249"/>
      <c r="AT50" s="251"/>
      <c r="AU50" s="249"/>
      <c r="AV50" s="250"/>
      <c r="AW50" s="252"/>
      <c r="AX50" s="253"/>
      <c r="AY50" s="197"/>
      <c r="BC50" s="198"/>
      <c r="BE50" s="2">
        <f>+I50</f>
        <v>149</v>
      </c>
    </row>
    <row r="51" spans="1:59" ht="15.75" customHeight="1" x14ac:dyDescent="0.3">
      <c r="B51" s="247" t="s">
        <v>369</v>
      </c>
      <c r="C51" s="210">
        <v>1</v>
      </c>
      <c r="D51" s="210">
        <v>1</v>
      </c>
      <c r="E51" s="210"/>
      <c r="F51" s="210"/>
      <c r="G51" s="188" t="s">
        <v>375</v>
      </c>
      <c r="H51" s="212" t="s">
        <v>24</v>
      </c>
      <c r="I51" s="217">
        <v>187</v>
      </c>
      <c r="J51" s="190">
        <f>+I51*K51</f>
        <v>8602</v>
      </c>
      <c r="K51" s="218">
        <v>46</v>
      </c>
      <c r="L51" s="217"/>
      <c r="M51" s="217"/>
      <c r="N51" s="217"/>
      <c r="O51" s="217"/>
      <c r="P51" s="217"/>
      <c r="Q51" s="214">
        <f>+(R51/I51)*100</f>
        <v>100</v>
      </c>
      <c r="R51" s="190">
        <v>187</v>
      </c>
      <c r="S51" s="245"/>
      <c r="T51" s="245">
        <v>0</v>
      </c>
      <c r="U51" s="245"/>
      <c r="V51" s="245"/>
      <c r="W51" s="245"/>
      <c r="X51" s="190"/>
      <c r="Y51" s="190"/>
      <c r="Z51" s="190"/>
      <c r="AA51" s="190"/>
      <c r="AB51" s="190"/>
      <c r="AC51" s="190"/>
      <c r="AD51" s="190"/>
      <c r="AE51" s="190"/>
      <c r="AF51" s="248"/>
      <c r="AG51" s="249"/>
      <c r="AH51" s="250"/>
      <c r="AI51" s="249"/>
      <c r="AJ51" s="250"/>
      <c r="AK51" s="249"/>
      <c r="AL51" s="250"/>
      <c r="AM51" s="249"/>
      <c r="AN51" s="250"/>
      <c r="AO51" s="249"/>
      <c r="AP51" s="250"/>
      <c r="AQ51" s="249"/>
      <c r="AR51" s="250"/>
      <c r="AS51" s="249"/>
      <c r="AT51" s="251"/>
      <c r="AU51" s="249"/>
      <c r="AV51" s="250"/>
      <c r="AW51" s="252"/>
      <c r="AX51" s="253"/>
      <c r="AY51" s="197"/>
      <c r="BC51" s="198"/>
      <c r="BF51">
        <f>+I51</f>
        <v>187</v>
      </c>
    </row>
    <row r="52" spans="1:59" ht="15.75" customHeight="1" x14ac:dyDescent="0.3">
      <c r="B52" s="186" t="s">
        <v>376</v>
      </c>
      <c r="C52" s="210"/>
      <c r="D52" s="210"/>
      <c r="E52" s="210"/>
      <c r="F52" s="210"/>
      <c r="G52" s="188" t="s">
        <v>375</v>
      </c>
      <c r="H52" s="189" t="s">
        <v>70</v>
      </c>
      <c r="I52" s="201">
        <v>100</v>
      </c>
      <c r="J52" s="190">
        <f>+I52*K52</f>
        <v>4000</v>
      </c>
      <c r="K52" s="200">
        <v>40</v>
      </c>
      <c r="L52" s="201"/>
      <c r="M52" s="201"/>
      <c r="N52" s="201"/>
      <c r="O52" s="201"/>
      <c r="P52" s="201"/>
      <c r="Q52" s="191">
        <f>+(R52/I52)*100</f>
        <v>100</v>
      </c>
      <c r="R52" s="213">
        <v>100</v>
      </c>
      <c r="S52" s="245"/>
      <c r="T52" s="245">
        <v>0</v>
      </c>
      <c r="U52" s="245"/>
      <c r="V52" s="245"/>
      <c r="W52" s="245"/>
      <c r="X52" s="190"/>
      <c r="Y52" s="190"/>
      <c r="Z52" s="190"/>
      <c r="AA52" s="190"/>
      <c r="AB52" s="190"/>
      <c r="AC52" s="190"/>
      <c r="AD52" s="190"/>
      <c r="AE52" s="190"/>
      <c r="AF52" s="248"/>
      <c r="AG52" s="249"/>
      <c r="AH52" s="250"/>
      <c r="AI52" s="249"/>
      <c r="AJ52" s="250"/>
      <c r="AK52" s="249"/>
      <c r="AL52" s="250"/>
      <c r="AM52" s="249"/>
      <c r="AN52" s="250"/>
      <c r="AO52" s="249"/>
      <c r="AP52" s="250"/>
      <c r="AQ52" s="249"/>
      <c r="AR52" s="250"/>
      <c r="AS52" s="249"/>
      <c r="AT52" s="251"/>
      <c r="AU52" s="249"/>
      <c r="AV52" s="250"/>
      <c r="AW52" s="252"/>
      <c r="AX52" s="253"/>
      <c r="AY52" s="197"/>
      <c r="BC52" s="198"/>
      <c r="BF52">
        <f>+I52</f>
        <v>100</v>
      </c>
    </row>
    <row r="53" spans="1:59" ht="15.75" customHeight="1" x14ac:dyDescent="0.3">
      <c r="B53" s="186" t="s">
        <v>159</v>
      </c>
      <c r="C53" s="187">
        <v>1</v>
      </c>
      <c r="D53" s="187"/>
      <c r="E53" s="187">
        <v>1</v>
      </c>
      <c r="F53" s="187"/>
      <c r="G53" s="188" t="s">
        <v>375</v>
      </c>
      <c r="H53" s="189" t="s">
        <v>152</v>
      </c>
      <c r="I53" s="201">
        <v>116</v>
      </c>
      <c r="J53" s="190">
        <f>+I53*K53</f>
        <v>8700</v>
      </c>
      <c r="K53" s="200">
        <v>75</v>
      </c>
      <c r="L53" s="201"/>
      <c r="M53" s="201"/>
      <c r="N53" s="201"/>
      <c r="O53" s="201"/>
      <c r="P53" s="201"/>
      <c r="Q53" s="191">
        <f>+(R53/I53)*100</f>
        <v>0</v>
      </c>
      <c r="R53" s="213"/>
      <c r="S53" s="245"/>
      <c r="T53" s="245"/>
      <c r="U53" s="245">
        <v>0</v>
      </c>
      <c r="V53" s="245"/>
      <c r="W53" s="245"/>
      <c r="X53" s="190"/>
      <c r="Y53" s="190"/>
      <c r="Z53" s="190"/>
      <c r="AA53" s="190"/>
      <c r="AB53" s="190"/>
      <c r="AC53" s="190"/>
      <c r="AD53" s="190"/>
      <c r="AE53" s="190"/>
      <c r="AF53" s="248"/>
      <c r="AG53" s="249"/>
      <c r="AH53" s="250"/>
      <c r="AI53" s="249"/>
      <c r="AJ53" s="250"/>
      <c r="AK53" s="249"/>
      <c r="AL53" s="250"/>
      <c r="AM53" s="249"/>
      <c r="AN53" s="250"/>
      <c r="AO53" s="249"/>
      <c r="AP53" s="250"/>
      <c r="AQ53" s="249"/>
      <c r="AR53" s="250"/>
      <c r="AS53" s="249"/>
      <c r="AT53" s="251"/>
      <c r="AU53" s="249"/>
      <c r="AV53" s="250"/>
      <c r="AW53" s="252"/>
      <c r="AX53" s="253"/>
      <c r="AY53" s="197"/>
      <c r="BC53" s="198"/>
      <c r="BG53">
        <f>+I53</f>
        <v>116</v>
      </c>
    </row>
    <row r="54" spans="1:59" ht="15.75" customHeight="1" x14ac:dyDescent="0.3">
      <c r="B54" s="186" t="s">
        <v>108</v>
      </c>
      <c r="C54" s="187"/>
      <c r="D54" s="187"/>
      <c r="E54" s="187"/>
      <c r="F54" s="187"/>
      <c r="G54" s="188" t="s">
        <v>375</v>
      </c>
      <c r="H54" s="189" t="s">
        <v>84</v>
      </c>
      <c r="I54" s="190">
        <f>364+84</f>
        <v>448</v>
      </c>
      <c r="J54" s="190">
        <v>67050</v>
      </c>
      <c r="K54" s="200">
        <v>86</v>
      </c>
      <c r="L54" s="201"/>
      <c r="M54" s="201"/>
      <c r="N54" s="201"/>
      <c r="O54" s="201"/>
      <c r="P54" s="201"/>
      <c r="Q54" s="191">
        <f t="shared" ref="Q54" si="25">+(R54/I54)*100</f>
        <v>18.75</v>
      </c>
      <c r="R54" s="213">
        <v>84</v>
      </c>
      <c r="S54" s="245">
        <v>0</v>
      </c>
      <c r="T54" s="245"/>
      <c r="U54" s="245"/>
      <c r="V54" s="245"/>
      <c r="W54" s="245"/>
      <c r="X54" s="190"/>
      <c r="Y54" s="190"/>
      <c r="Z54" s="190"/>
      <c r="AA54" s="190"/>
      <c r="AB54" s="190"/>
      <c r="AC54" s="190"/>
      <c r="AD54" s="190"/>
      <c r="AE54" s="190"/>
      <c r="AF54" s="248"/>
      <c r="AG54" s="249"/>
      <c r="AH54" s="250"/>
      <c r="AI54" s="249"/>
      <c r="AJ54" s="250"/>
      <c r="AK54" s="249"/>
      <c r="AL54" s="250"/>
      <c r="AM54" s="249"/>
      <c r="AN54" s="250"/>
      <c r="AO54" s="249"/>
      <c r="AP54" s="250"/>
      <c r="AQ54" s="249"/>
      <c r="AR54" s="250"/>
      <c r="AS54" s="249"/>
      <c r="AT54" s="251"/>
      <c r="AU54" s="249"/>
      <c r="AV54" s="250"/>
      <c r="AW54" s="252"/>
      <c r="AX54" s="253"/>
      <c r="AY54" s="197"/>
      <c r="BC54" s="198"/>
      <c r="BE54" s="2">
        <f>+I54</f>
        <v>448</v>
      </c>
    </row>
    <row r="55" spans="1:59" ht="15.75" customHeight="1" x14ac:dyDescent="0.3">
      <c r="B55" s="186" t="s">
        <v>217</v>
      </c>
      <c r="C55" s="187"/>
      <c r="D55" s="187"/>
      <c r="E55" s="187"/>
      <c r="F55" s="187"/>
      <c r="G55" s="188" t="s">
        <v>375</v>
      </c>
      <c r="H55" s="189" t="s">
        <v>210</v>
      </c>
      <c r="I55" s="201">
        <f>111+154</f>
        <v>265</v>
      </c>
      <c r="J55" s="190">
        <f>+I55*80</f>
        <v>21200</v>
      </c>
      <c r="K55" s="200">
        <f>+J55/I55</f>
        <v>80</v>
      </c>
      <c r="L55" s="201"/>
      <c r="M55" s="201"/>
      <c r="N55" s="201"/>
      <c r="O55" s="201"/>
      <c r="P55" s="201"/>
      <c r="Q55" s="191">
        <f>+(R55/I55)*100</f>
        <v>58.113207547169807</v>
      </c>
      <c r="R55" s="213">
        <v>154</v>
      </c>
      <c r="S55" s="245"/>
      <c r="T55" s="245"/>
      <c r="U55" s="245">
        <v>0</v>
      </c>
      <c r="V55" s="245"/>
      <c r="W55" s="245"/>
      <c r="X55" s="190"/>
      <c r="Y55" s="190"/>
      <c r="Z55" s="190"/>
      <c r="AA55" s="190"/>
      <c r="AB55" s="190"/>
      <c r="AC55" s="190"/>
      <c r="AD55" s="190"/>
      <c r="AE55" s="190"/>
      <c r="AF55" s="248"/>
      <c r="AG55" s="249"/>
      <c r="AH55" s="250"/>
      <c r="AI55" s="249"/>
      <c r="AJ55" s="250"/>
      <c r="AK55" s="249"/>
      <c r="AL55" s="250"/>
      <c r="AM55" s="249"/>
      <c r="AN55" s="250"/>
      <c r="AO55" s="249"/>
      <c r="AP55" s="250"/>
      <c r="AQ55" s="249"/>
      <c r="AR55" s="250"/>
      <c r="AS55" s="249"/>
      <c r="AT55" s="251"/>
      <c r="AU55" s="249"/>
      <c r="AV55" s="250"/>
      <c r="AW55" s="252"/>
      <c r="AX55" s="253"/>
      <c r="AY55" s="197"/>
      <c r="BC55" s="198"/>
      <c r="BG55">
        <f>+I55</f>
        <v>265</v>
      </c>
    </row>
    <row r="56" spans="1:59" ht="15.75" customHeight="1" x14ac:dyDescent="0.25">
      <c r="B56" s="186" t="s">
        <v>95</v>
      </c>
      <c r="C56" s="187"/>
      <c r="D56" s="187"/>
      <c r="E56" s="187">
        <v>1</v>
      </c>
      <c r="F56" s="187"/>
      <c r="G56" s="188" t="s">
        <v>375</v>
      </c>
      <c r="H56" s="189" t="s">
        <v>84</v>
      </c>
      <c r="I56" s="190">
        <v>110</v>
      </c>
      <c r="J56" s="190">
        <f>15900*0.85</f>
        <v>13515</v>
      </c>
      <c r="K56" s="200">
        <f>+J56/I56</f>
        <v>122.86363636363636</v>
      </c>
      <c r="L56" s="201"/>
      <c r="M56" s="201"/>
      <c r="N56" s="201"/>
      <c r="O56" s="201"/>
      <c r="P56" s="201"/>
      <c r="Q56" s="191">
        <f>+(R56/I56)*100</f>
        <v>0</v>
      </c>
      <c r="R56" s="190">
        <f>SUM(X56:AE56)</f>
        <v>0</v>
      </c>
      <c r="S56" s="244">
        <v>1.1000000000000001</v>
      </c>
      <c r="T56" s="244"/>
      <c r="U56" s="244"/>
      <c r="V56" s="244"/>
      <c r="W56" s="244"/>
      <c r="X56" s="201"/>
      <c r="Y56" s="201"/>
      <c r="Z56" s="201"/>
      <c r="AA56" s="201"/>
      <c r="AB56" s="201"/>
      <c r="AC56" s="201"/>
      <c r="AD56" s="201"/>
      <c r="AE56" s="201"/>
      <c r="AF56" s="202"/>
      <c r="AG56" s="203"/>
      <c r="AH56" s="203"/>
      <c r="AI56" s="203"/>
      <c r="AJ56" s="203"/>
      <c r="AK56" s="204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5"/>
      <c r="AX56" s="206"/>
      <c r="AY56" s="207"/>
      <c r="BC56" s="198"/>
      <c r="BE56" s="2">
        <f>+I56</f>
        <v>110</v>
      </c>
    </row>
    <row r="57" spans="1:59" ht="15.75" customHeight="1" x14ac:dyDescent="0.3">
      <c r="A57">
        <f>+A49+1</f>
        <v>43</v>
      </c>
      <c r="B57" s="186" t="s">
        <v>85</v>
      </c>
      <c r="C57" s="187"/>
      <c r="D57" s="187"/>
      <c r="E57" s="187">
        <v>1</v>
      </c>
      <c r="F57" s="187"/>
      <c r="G57" s="188" t="s">
        <v>375</v>
      </c>
      <c r="H57" s="189" t="s">
        <v>84</v>
      </c>
      <c r="I57" s="190">
        <v>100</v>
      </c>
      <c r="J57" s="190">
        <f>+I57*K57</f>
        <v>10000</v>
      </c>
      <c r="K57" s="260">
        <v>100</v>
      </c>
      <c r="L57" s="201"/>
      <c r="M57" s="201"/>
      <c r="N57" s="201"/>
      <c r="O57" s="201"/>
      <c r="P57" s="201"/>
      <c r="Q57" s="191">
        <f t="shared" ref="Q57:Q58" si="26">+(R57/I57)*100</f>
        <v>0</v>
      </c>
      <c r="R57" s="213">
        <f t="shared" si="24"/>
        <v>0</v>
      </c>
      <c r="S57" s="245">
        <v>2.2000000000000002</v>
      </c>
      <c r="T57" s="245"/>
      <c r="U57" s="245"/>
      <c r="V57" s="245"/>
      <c r="W57" s="245"/>
      <c r="X57" s="201"/>
      <c r="Y57" s="201"/>
      <c r="Z57" s="201"/>
      <c r="AA57" s="201"/>
      <c r="AB57" s="201"/>
      <c r="AC57" s="201"/>
      <c r="AD57" s="201"/>
      <c r="AE57" s="201"/>
      <c r="AF57" s="248"/>
      <c r="AG57" s="249"/>
      <c r="AH57" s="250"/>
      <c r="AI57" s="249"/>
      <c r="AJ57" s="250"/>
      <c r="AK57" s="249"/>
      <c r="AL57" s="250"/>
      <c r="AM57" s="249"/>
      <c r="AN57" s="250"/>
      <c r="AO57" s="249"/>
      <c r="AP57" s="250"/>
      <c r="AQ57" s="249"/>
      <c r="AR57" s="250"/>
      <c r="AS57" s="249"/>
      <c r="AT57" s="251"/>
      <c r="AU57" s="249"/>
      <c r="AV57" s="250"/>
      <c r="AW57" s="252"/>
      <c r="AX57" s="253"/>
      <c r="AY57" s="197"/>
      <c r="BC57" s="198"/>
      <c r="BE57" s="2">
        <f t="shared" ref="BE57:BE59" si="27">+I57</f>
        <v>100</v>
      </c>
    </row>
    <row r="58" spans="1:59" ht="15.75" customHeight="1" x14ac:dyDescent="0.3">
      <c r="A58">
        <f>+A57+1</f>
        <v>44</v>
      </c>
      <c r="B58" s="186" t="s">
        <v>377</v>
      </c>
      <c r="C58" s="187"/>
      <c r="D58" s="187"/>
      <c r="E58" s="187"/>
      <c r="F58" s="187"/>
      <c r="G58" s="188" t="s">
        <v>375</v>
      </c>
      <c r="H58" s="189" t="s">
        <v>84</v>
      </c>
      <c r="I58" s="190">
        <v>86</v>
      </c>
      <c r="J58" s="190">
        <v>7400</v>
      </c>
      <c r="K58" s="200">
        <f>+J58/I58</f>
        <v>86.04651162790698</v>
      </c>
      <c r="L58" s="201"/>
      <c r="M58" s="201"/>
      <c r="N58" s="201"/>
      <c r="O58" s="201"/>
      <c r="P58" s="201"/>
      <c r="Q58" s="191">
        <f t="shared" si="26"/>
        <v>6.9767441860465116</v>
      </c>
      <c r="R58" s="213">
        <v>6</v>
      </c>
      <c r="S58" s="245">
        <v>0.4</v>
      </c>
      <c r="T58" s="245"/>
      <c r="U58" s="245"/>
      <c r="V58" s="245"/>
      <c r="W58" s="245"/>
      <c r="X58" s="201"/>
      <c r="Y58" s="201"/>
      <c r="Z58" s="201"/>
      <c r="AA58" s="201"/>
      <c r="AB58" s="201"/>
      <c r="AC58" s="201"/>
      <c r="AD58" s="201"/>
      <c r="AE58" s="201"/>
      <c r="AF58" s="248"/>
      <c r="AG58" s="249"/>
      <c r="AH58" s="250"/>
      <c r="AI58" s="249"/>
      <c r="AJ58" s="250"/>
      <c r="AK58" s="249"/>
      <c r="AL58" s="250"/>
      <c r="AM58" s="249"/>
      <c r="AN58" s="250"/>
      <c r="AO58" s="249"/>
      <c r="AP58" s="250"/>
      <c r="AQ58" s="249"/>
      <c r="AR58" s="250"/>
      <c r="AS58" s="249"/>
      <c r="AT58" s="251"/>
      <c r="AU58" s="249"/>
      <c r="AV58" s="250"/>
      <c r="AW58" s="252"/>
      <c r="AX58" s="253"/>
      <c r="AY58" s="197"/>
      <c r="BC58" s="198"/>
      <c r="BE58" s="2">
        <f t="shared" si="27"/>
        <v>86</v>
      </c>
    </row>
    <row r="59" spans="1:59" ht="15.75" customHeight="1" x14ac:dyDescent="0.3">
      <c r="A59">
        <f t="shared" ref="A59:A63" si="28">+A58+1</f>
        <v>45</v>
      </c>
      <c r="B59" s="247" t="s">
        <v>90</v>
      </c>
      <c r="C59" s="210"/>
      <c r="D59" s="210"/>
      <c r="E59" s="210"/>
      <c r="F59" s="210"/>
      <c r="G59" s="188" t="s">
        <v>375</v>
      </c>
      <c r="H59" s="212" t="s">
        <v>84</v>
      </c>
      <c r="I59" s="217">
        <v>86</v>
      </c>
      <c r="J59" s="213">
        <f>8800*0.85</f>
        <v>7480</v>
      </c>
      <c r="K59" s="218">
        <f t="shared" ref="K59" si="29">+J59/I59</f>
        <v>86.976744186046517</v>
      </c>
      <c r="L59" s="217"/>
      <c r="M59" s="217"/>
      <c r="N59" s="217"/>
      <c r="O59" s="217"/>
      <c r="P59" s="217"/>
      <c r="Q59" s="214">
        <f>+(R59/I59)*100</f>
        <v>4.6511627906976747</v>
      </c>
      <c r="R59" s="213">
        <v>4</v>
      </c>
      <c r="S59" s="245">
        <v>0.5</v>
      </c>
      <c r="T59" s="245"/>
      <c r="U59" s="245"/>
      <c r="V59" s="245"/>
      <c r="W59" s="245"/>
      <c r="X59" s="217"/>
      <c r="Y59" s="217"/>
      <c r="Z59" s="217"/>
      <c r="AA59" s="217"/>
      <c r="AB59" s="217"/>
      <c r="AC59" s="217"/>
      <c r="AD59" s="217"/>
      <c r="AE59" s="217"/>
      <c r="AF59" s="248"/>
      <c r="AG59" s="249"/>
      <c r="AH59" s="250"/>
      <c r="AI59" s="249"/>
      <c r="AJ59" s="250"/>
      <c r="AK59" s="249"/>
      <c r="AL59" s="250"/>
      <c r="AM59" s="249"/>
      <c r="AN59" s="250"/>
      <c r="AO59" s="249"/>
      <c r="AP59" s="250"/>
      <c r="AQ59" s="249"/>
      <c r="AR59" s="250"/>
      <c r="AS59" s="249"/>
      <c r="AT59" s="251"/>
      <c r="AU59" s="249"/>
      <c r="AV59" s="250"/>
      <c r="AW59" s="252"/>
      <c r="AX59" s="253"/>
      <c r="AY59" s="197"/>
      <c r="BC59" s="198"/>
      <c r="BE59" s="2">
        <f t="shared" si="27"/>
        <v>86</v>
      </c>
    </row>
    <row r="60" spans="1:59" ht="15.75" customHeight="1" x14ac:dyDescent="0.3">
      <c r="A60">
        <v>47</v>
      </c>
      <c r="B60" s="186" t="s">
        <v>92</v>
      </c>
      <c r="C60" s="187"/>
      <c r="D60" s="187"/>
      <c r="E60" s="187">
        <v>1</v>
      </c>
      <c r="F60" s="187"/>
      <c r="G60" s="188" t="s">
        <v>375</v>
      </c>
      <c r="H60" s="189" t="s">
        <v>84</v>
      </c>
      <c r="I60" s="201">
        <v>30</v>
      </c>
      <c r="J60" s="190">
        <f>+I60*K60</f>
        <v>2550</v>
      </c>
      <c r="K60" s="200">
        <v>85</v>
      </c>
      <c r="L60" s="201"/>
      <c r="M60" s="201"/>
      <c r="N60" s="201"/>
      <c r="O60" s="201"/>
      <c r="P60" s="201"/>
      <c r="Q60" s="191">
        <f t="shared" ref="Q60:Q75" si="30">+(R60/I60)*100</f>
        <v>100</v>
      </c>
      <c r="R60" s="213">
        <f t="shared" si="24"/>
        <v>30</v>
      </c>
      <c r="S60" s="245"/>
      <c r="T60" s="245">
        <v>0.5</v>
      </c>
      <c r="U60" s="245"/>
      <c r="V60" s="245"/>
      <c r="W60" s="245"/>
      <c r="X60" s="201"/>
      <c r="Y60" s="201"/>
      <c r="Z60" s="201"/>
      <c r="AA60" s="201"/>
      <c r="AB60" s="201">
        <v>30</v>
      </c>
      <c r="AC60" s="201"/>
      <c r="AD60" s="201"/>
      <c r="AE60" s="201"/>
      <c r="AF60" s="248"/>
      <c r="AG60" s="249"/>
      <c r="AH60" s="250"/>
      <c r="AI60" s="249"/>
      <c r="AJ60" s="250"/>
      <c r="AK60" s="249"/>
      <c r="AL60" s="250"/>
      <c r="AM60" s="249"/>
      <c r="AN60" s="250"/>
      <c r="AO60" s="249"/>
      <c r="AP60" s="250"/>
      <c r="AQ60" s="249"/>
      <c r="AR60" s="250"/>
      <c r="AS60" s="249"/>
      <c r="AT60" s="251"/>
      <c r="AU60" s="249"/>
      <c r="AV60" s="250"/>
      <c r="AW60" s="252"/>
      <c r="AX60" s="253"/>
      <c r="AY60" s="197"/>
      <c r="BC60" s="198"/>
      <c r="BF60">
        <f>+I60</f>
        <v>30</v>
      </c>
    </row>
    <row r="61" spans="1:59" ht="15.75" customHeight="1" x14ac:dyDescent="0.3">
      <c r="A61">
        <f t="shared" si="28"/>
        <v>48</v>
      </c>
      <c r="B61" s="186" t="s">
        <v>378</v>
      </c>
      <c r="C61" s="187"/>
      <c r="D61" s="187"/>
      <c r="E61" s="187">
        <v>1</v>
      </c>
      <c r="F61" s="187"/>
      <c r="G61" s="188" t="s">
        <v>375</v>
      </c>
      <c r="H61" s="189" t="s">
        <v>8</v>
      </c>
      <c r="I61" s="201">
        <v>84</v>
      </c>
      <c r="J61" s="190">
        <f>+I61*K61</f>
        <v>6720</v>
      </c>
      <c r="K61" s="200">
        <v>80</v>
      </c>
      <c r="L61" s="201"/>
      <c r="M61" s="201"/>
      <c r="N61" s="201"/>
      <c r="O61" s="201"/>
      <c r="P61" s="201"/>
      <c r="Q61" s="191">
        <f t="shared" si="30"/>
        <v>8.3333333333333321</v>
      </c>
      <c r="R61" s="213">
        <v>7</v>
      </c>
      <c r="S61" s="245">
        <v>0.42</v>
      </c>
      <c r="T61" s="245"/>
      <c r="U61" s="245"/>
      <c r="V61" s="245"/>
      <c r="W61" s="245"/>
      <c r="X61" s="201">
        <f>+I61*0.2</f>
        <v>16.8</v>
      </c>
      <c r="Y61" s="201"/>
      <c r="Z61" s="201"/>
      <c r="AA61" s="201"/>
      <c r="AB61" s="201"/>
      <c r="AC61" s="200">
        <f>+I61*0.05</f>
        <v>4.2</v>
      </c>
      <c r="AD61" s="201"/>
      <c r="AE61" s="201"/>
      <c r="AF61" s="248"/>
      <c r="AG61" s="249"/>
      <c r="AH61" s="250"/>
      <c r="AI61" s="249"/>
      <c r="AJ61" s="250"/>
      <c r="AK61" s="249"/>
      <c r="AL61" s="250"/>
      <c r="AM61" s="249"/>
      <c r="AN61" s="250"/>
      <c r="AO61" s="249"/>
      <c r="AP61" s="250"/>
      <c r="AQ61" s="249"/>
      <c r="AR61" s="250"/>
      <c r="AS61" s="249"/>
      <c r="AT61" s="251"/>
      <c r="AU61" s="249"/>
      <c r="AV61" s="250"/>
      <c r="AW61" s="252"/>
      <c r="AX61" s="253"/>
      <c r="AY61" s="197"/>
      <c r="BC61" s="198"/>
      <c r="BE61" s="2">
        <f>+I61</f>
        <v>84</v>
      </c>
    </row>
    <row r="62" spans="1:59" ht="15.75" customHeight="1" x14ac:dyDescent="0.3">
      <c r="A62">
        <f t="shared" si="28"/>
        <v>49</v>
      </c>
      <c r="B62" s="186" t="s">
        <v>107</v>
      </c>
      <c r="C62" s="187">
        <v>1</v>
      </c>
      <c r="D62" s="187"/>
      <c r="E62" s="187">
        <v>1</v>
      </c>
      <c r="F62" s="187"/>
      <c r="G62" s="188" t="s">
        <v>375</v>
      </c>
      <c r="H62" s="189" t="s">
        <v>84</v>
      </c>
      <c r="I62" s="190">
        <v>330</v>
      </c>
      <c r="J62" s="190">
        <f>29900*0.9</f>
        <v>26910</v>
      </c>
      <c r="K62" s="200">
        <f t="shared" ref="K62:K63" si="31">+J62/I62</f>
        <v>81.545454545454547</v>
      </c>
      <c r="L62" s="201"/>
      <c r="M62" s="201"/>
      <c r="N62" s="201"/>
      <c r="O62" s="201"/>
      <c r="P62" s="201"/>
      <c r="Q62" s="191">
        <f t="shared" si="30"/>
        <v>42.424242424242422</v>
      </c>
      <c r="R62" s="213">
        <v>140</v>
      </c>
      <c r="S62" s="245">
        <v>3.1</v>
      </c>
      <c r="T62" s="245"/>
      <c r="U62" s="245"/>
      <c r="V62" s="245"/>
      <c r="W62" s="245">
        <v>0.35</v>
      </c>
      <c r="X62" s="261"/>
      <c r="Y62" s="262"/>
      <c r="Z62" s="262"/>
      <c r="AA62" s="262"/>
      <c r="AB62" s="262"/>
      <c r="AC62" s="262">
        <v>15</v>
      </c>
      <c r="AD62" s="262"/>
      <c r="AE62" s="262">
        <v>75</v>
      </c>
      <c r="AF62" s="263"/>
      <c r="AG62" s="264"/>
      <c r="AH62" s="265"/>
      <c r="AI62" s="264"/>
      <c r="AJ62" s="265"/>
      <c r="AK62" s="264"/>
      <c r="AL62" s="265"/>
      <c r="AM62" s="264"/>
      <c r="AN62" s="265"/>
      <c r="AO62" s="264"/>
      <c r="AP62" s="265"/>
      <c r="AQ62" s="264"/>
      <c r="AR62" s="265"/>
      <c r="AS62" s="264"/>
      <c r="AT62" s="266"/>
      <c r="AU62" s="264"/>
      <c r="AV62" s="265"/>
      <c r="AW62" s="267"/>
      <c r="AX62" s="268"/>
      <c r="AY62" s="269"/>
      <c r="AZ62" s="270"/>
      <c r="BA62" s="270"/>
      <c r="BB62" s="270"/>
      <c r="BC62" s="271"/>
      <c r="BE62" s="2">
        <f>+I62</f>
        <v>330</v>
      </c>
    </row>
    <row r="63" spans="1:59" ht="15.75" customHeight="1" x14ac:dyDescent="0.3">
      <c r="A63">
        <f t="shared" si="28"/>
        <v>50</v>
      </c>
      <c r="B63" s="186" t="s">
        <v>215</v>
      </c>
      <c r="C63" s="187"/>
      <c r="D63" s="187"/>
      <c r="E63" s="187"/>
      <c r="F63" s="187"/>
      <c r="G63" s="188" t="s">
        <v>375</v>
      </c>
      <c r="H63" s="189" t="s">
        <v>210</v>
      </c>
      <c r="I63" s="201">
        <v>190</v>
      </c>
      <c r="J63" s="190">
        <f>+I63*100</f>
        <v>19000</v>
      </c>
      <c r="K63" s="260">
        <f t="shared" si="31"/>
        <v>100</v>
      </c>
      <c r="L63" s="201"/>
      <c r="M63" s="201"/>
      <c r="N63" s="201"/>
      <c r="O63" s="201"/>
      <c r="P63" s="201"/>
      <c r="Q63" s="191">
        <f t="shared" si="30"/>
        <v>0</v>
      </c>
      <c r="R63" s="213">
        <v>0</v>
      </c>
      <c r="S63" s="245"/>
      <c r="T63" s="245"/>
      <c r="U63" s="245"/>
      <c r="V63" s="245"/>
      <c r="W63" s="245"/>
      <c r="X63" s="201"/>
      <c r="Y63" s="201"/>
      <c r="Z63" s="201"/>
      <c r="AA63" s="201"/>
      <c r="AB63" s="201"/>
      <c r="AC63" s="201"/>
      <c r="AD63" s="201"/>
      <c r="AE63" s="201"/>
      <c r="AF63" s="248"/>
      <c r="AG63" s="249"/>
      <c r="AH63" s="250"/>
      <c r="AI63" s="249"/>
      <c r="AJ63" s="250"/>
      <c r="AK63" s="249"/>
      <c r="AL63" s="250"/>
      <c r="AM63" s="249"/>
      <c r="AN63" s="250"/>
      <c r="AO63" s="249"/>
      <c r="AP63" s="250"/>
      <c r="AQ63" s="249"/>
      <c r="AR63" s="250"/>
      <c r="AS63" s="249"/>
      <c r="AT63" s="251"/>
      <c r="AU63" s="249"/>
      <c r="AV63" s="250"/>
      <c r="AW63" s="252"/>
      <c r="AX63" s="253"/>
      <c r="AY63" s="197"/>
      <c r="BC63" s="198"/>
      <c r="BE63" s="2">
        <f>+I63</f>
        <v>190</v>
      </c>
    </row>
    <row r="64" spans="1:59" ht="15.75" customHeight="1" x14ac:dyDescent="0.3">
      <c r="A64">
        <v>51</v>
      </c>
      <c r="B64" s="272" t="s">
        <v>227</v>
      </c>
      <c r="C64" s="273"/>
      <c r="D64" s="273"/>
      <c r="E64" s="273"/>
      <c r="F64" s="273"/>
      <c r="G64" s="188" t="s">
        <v>375</v>
      </c>
      <c r="H64" s="274" t="s">
        <v>228</v>
      </c>
      <c r="I64" s="246">
        <v>23</v>
      </c>
      <c r="J64" s="275"/>
      <c r="K64" s="276">
        <v>90</v>
      </c>
      <c r="L64" s="246"/>
      <c r="M64" s="246"/>
      <c r="N64" s="246"/>
      <c r="O64" s="246"/>
      <c r="P64" s="246"/>
      <c r="Q64" s="191">
        <f t="shared" si="30"/>
        <v>43.478260869565219</v>
      </c>
      <c r="R64" s="213">
        <f>SUM(X64:BC64)</f>
        <v>10</v>
      </c>
      <c r="S64" s="244"/>
      <c r="T64" s="244"/>
      <c r="U64" s="244">
        <v>0.9</v>
      </c>
      <c r="V64" s="244"/>
      <c r="W64" s="244"/>
      <c r="X64" s="246"/>
      <c r="Y64" s="246"/>
      <c r="Z64" s="246"/>
      <c r="AA64" s="246"/>
      <c r="AB64" s="246"/>
      <c r="AC64" s="246"/>
      <c r="AD64" s="246"/>
      <c r="AE64" s="246"/>
      <c r="AF64" s="248"/>
      <c r="AG64" s="249"/>
      <c r="AH64" s="250"/>
      <c r="AI64" s="249"/>
      <c r="AJ64" s="250"/>
      <c r="AK64" s="249"/>
      <c r="AL64" s="250"/>
      <c r="AM64" s="249"/>
      <c r="AN64" s="250"/>
      <c r="AO64" s="249"/>
      <c r="AP64" s="250"/>
      <c r="AQ64" s="249"/>
      <c r="AR64" s="250"/>
      <c r="AS64" s="249"/>
      <c r="AT64" s="251"/>
      <c r="AU64" s="249"/>
      <c r="AV64" s="250"/>
      <c r="AW64" s="252"/>
      <c r="AX64" s="253"/>
      <c r="AY64" s="197"/>
      <c r="BC64" s="198">
        <v>10</v>
      </c>
      <c r="BG64">
        <f>+I64</f>
        <v>23</v>
      </c>
    </row>
    <row r="65" spans="1:61" ht="15.75" customHeight="1" x14ac:dyDescent="0.3">
      <c r="A65">
        <v>53</v>
      </c>
      <c r="B65" s="186" t="s">
        <v>379</v>
      </c>
      <c r="C65" s="187"/>
      <c r="D65" s="187"/>
      <c r="E65" s="187"/>
      <c r="F65" s="187"/>
      <c r="G65" s="188" t="s">
        <v>375</v>
      </c>
      <c r="H65" s="189" t="s">
        <v>142</v>
      </c>
      <c r="I65" s="201">
        <v>800</v>
      </c>
      <c r="J65" s="190">
        <f>+I65*K65</f>
        <v>91200</v>
      </c>
      <c r="K65" s="200">
        <v>114</v>
      </c>
      <c r="L65" s="201"/>
      <c r="M65" s="201"/>
      <c r="N65" s="201"/>
      <c r="O65" s="201"/>
      <c r="P65" s="201"/>
      <c r="Q65" s="191">
        <f t="shared" si="30"/>
        <v>55.000000000000007</v>
      </c>
      <c r="R65" s="213">
        <f>SUM(X65:BC65)</f>
        <v>440</v>
      </c>
      <c r="S65" s="244">
        <v>7.5</v>
      </c>
      <c r="T65" s="244"/>
      <c r="U65" s="244"/>
      <c r="V65" s="244"/>
      <c r="W65" s="244">
        <v>1.5</v>
      </c>
      <c r="X65" s="201"/>
      <c r="Y65" s="201">
        <v>28</v>
      </c>
      <c r="Z65" s="201">
        <v>100</v>
      </c>
      <c r="AA65" s="201"/>
      <c r="AB65" s="201"/>
      <c r="AC65" s="201">
        <v>25</v>
      </c>
      <c r="AD65" s="201"/>
      <c r="AE65" s="201">
        <v>124</v>
      </c>
      <c r="AF65" s="248"/>
      <c r="AG65" s="249"/>
      <c r="AH65" s="250"/>
      <c r="AI65" s="249"/>
      <c r="AJ65" s="250"/>
      <c r="AK65" s="249"/>
      <c r="AL65" s="250"/>
      <c r="AM65" s="249"/>
      <c r="AN65" s="250"/>
      <c r="AO65" s="249"/>
      <c r="AP65" s="250"/>
      <c r="AQ65" s="249"/>
      <c r="AR65" s="250"/>
      <c r="AS65" s="249"/>
      <c r="AT65" s="251"/>
      <c r="AU65" s="249"/>
      <c r="AV65" s="250"/>
      <c r="AW65" s="252"/>
      <c r="AX65" s="253"/>
      <c r="AY65" s="197"/>
      <c r="BC65" s="198">
        <v>163</v>
      </c>
      <c r="BE65" s="2">
        <f>+I65*0.833</f>
        <v>666.4</v>
      </c>
      <c r="BI65" s="2">
        <f>800*0.167</f>
        <v>133.6</v>
      </c>
    </row>
    <row r="66" spans="1:61" ht="15.75" customHeight="1" x14ac:dyDescent="0.3">
      <c r="A66">
        <f>+A65+1</f>
        <v>54</v>
      </c>
      <c r="B66" s="272" t="s">
        <v>380</v>
      </c>
      <c r="C66" s="273"/>
      <c r="D66" s="273"/>
      <c r="E66" s="273"/>
      <c r="F66" s="273"/>
      <c r="G66" s="188" t="s">
        <v>375</v>
      </c>
      <c r="H66" s="274" t="s">
        <v>187</v>
      </c>
      <c r="I66" s="246">
        <v>500</v>
      </c>
      <c r="J66" s="275">
        <f>+I66*90</f>
        <v>45000</v>
      </c>
      <c r="K66" s="277">
        <f>+J66/I66</f>
        <v>90</v>
      </c>
      <c r="L66" s="246"/>
      <c r="M66" s="246"/>
      <c r="N66" s="246"/>
      <c r="O66" s="246"/>
      <c r="P66" s="246"/>
      <c r="Q66" s="191">
        <f t="shared" si="30"/>
        <v>32.800000000000004</v>
      </c>
      <c r="R66" s="213">
        <f>SUM(X66:BC66)</f>
        <v>164</v>
      </c>
      <c r="S66" s="278">
        <v>8.5</v>
      </c>
      <c r="T66" s="278">
        <v>1.75</v>
      </c>
      <c r="U66" s="278">
        <v>1.75</v>
      </c>
      <c r="V66" s="278"/>
      <c r="W66" s="278"/>
      <c r="X66" s="246"/>
      <c r="Y66" s="246"/>
      <c r="Z66" s="246"/>
      <c r="AA66" s="246"/>
      <c r="AB66" s="246"/>
      <c r="AC66" s="246"/>
      <c r="AD66" s="246"/>
      <c r="AE66" s="246"/>
      <c r="AF66" s="248"/>
      <c r="AG66" s="249"/>
      <c r="AH66" s="250"/>
      <c r="AI66" s="249"/>
      <c r="AJ66" s="250"/>
      <c r="AK66" s="249"/>
      <c r="AL66" s="250"/>
      <c r="AM66" s="249"/>
      <c r="AN66" s="250"/>
      <c r="AO66" s="249"/>
      <c r="AP66" s="250"/>
      <c r="AQ66" s="249"/>
      <c r="AR66" s="250"/>
      <c r="AS66" s="249"/>
      <c r="AT66" s="251"/>
      <c r="AU66" s="249"/>
      <c r="AV66" s="250"/>
      <c r="AW66" s="252"/>
      <c r="AX66" s="253"/>
      <c r="AY66" s="197"/>
      <c r="BC66" s="198">
        <v>164</v>
      </c>
      <c r="BE66">
        <f>+I66*0.71</f>
        <v>355</v>
      </c>
      <c r="BF66">
        <f>0.145*I66</f>
        <v>72.5</v>
      </c>
      <c r="BG66">
        <f>+I66*0.145</f>
        <v>72.5</v>
      </c>
    </row>
    <row r="67" spans="1:61" ht="15.75" customHeight="1" x14ac:dyDescent="0.25">
      <c r="A67" t="e">
        <f>+#REF!+1</f>
        <v>#REF!</v>
      </c>
      <c r="B67" s="186" t="s">
        <v>381</v>
      </c>
      <c r="C67" s="187"/>
      <c r="D67" s="187"/>
      <c r="E67" s="187"/>
      <c r="F67" s="187"/>
      <c r="G67" s="188" t="s">
        <v>375</v>
      </c>
      <c r="H67" s="189" t="s">
        <v>84</v>
      </c>
      <c r="I67" s="201">
        <v>65</v>
      </c>
      <c r="J67" s="190">
        <f>+I67*K67</f>
        <v>4550</v>
      </c>
      <c r="K67" s="200">
        <v>70</v>
      </c>
      <c r="L67" s="201"/>
      <c r="M67" s="201"/>
      <c r="N67" s="201"/>
      <c r="O67" s="201"/>
      <c r="P67" s="201"/>
      <c r="Q67" s="191">
        <f t="shared" si="30"/>
        <v>25</v>
      </c>
      <c r="R67" s="190">
        <f>+I67*0.25</f>
        <v>16.25</v>
      </c>
      <c r="S67" s="244">
        <v>0.44</v>
      </c>
      <c r="T67" s="244"/>
      <c r="U67" s="244"/>
      <c r="V67" s="244"/>
      <c r="W67" s="244"/>
      <c r="X67" s="201"/>
      <c r="Y67" s="201"/>
      <c r="Z67" s="201"/>
      <c r="AA67" s="201"/>
      <c r="AB67" s="201"/>
      <c r="AC67" s="201"/>
      <c r="AD67" s="201"/>
      <c r="AE67" s="201"/>
      <c r="AF67" s="206"/>
      <c r="AG67" s="198"/>
      <c r="AH67" s="198"/>
      <c r="AI67" s="198"/>
      <c r="AJ67" s="198"/>
      <c r="AK67" s="198"/>
      <c r="AL67" s="198"/>
      <c r="AM67" s="254"/>
      <c r="AN67" s="198"/>
      <c r="AO67" s="255"/>
      <c r="AP67" s="198"/>
      <c r="AQ67" s="198"/>
      <c r="AR67" s="256"/>
      <c r="AS67" s="198"/>
      <c r="AT67" s="198"/>
      <c r="AU67" s="198"/>
      <c r="AV67" s="198"/>
      <c r="AW67" s="257"/>
      <c r="AX67" s="206"/>
      <c r="AY67" s="187"/>
      <c r="BC67" s="198"/>
      <c r="BE67">
        <f>+I67</f>
        <v>65</v>
      </c>
    </row>
    <row r="68" spans="1:61" ht="15.75" customHeight="1" x14ac:dyDescent="0.25">
      <c r="A68" t="e">
        <f>+A67+1</f>
        <v>#REF!</v>
      </c>
      <c r="B68" s="272" t="s">
        <v>382</v>
      </c>
      <c r="C68" s="273"/>
      <c r="D68" s="273"/>
      <c r="E68" s="273"/>
      <c r="F68" s="273"/>
      <c r="G68" s="188" t="s">
        <v>375</v>
      </c>
      <c r="H68" s="274" t="s">
        <v>210</v>
      </c>
      <c r="I68" s="246">
        <v>56</v>
      </c>
      <c r="J68" s="275">
        <f>+I68*K68</f>
        <v>2800</v>
      </c>
      <c r="K68" s="246">
        <v>50</v>
      </c>
      <c r="L68" s="279"/>
      <c r="M68" s="279"/>
      <c r="N68" s="279"/>
      <c r="O68" s="279"/>
      <c r="P68" s="279"/>
      <c r="Q68" s="191">
        <f t="shared" si="30"/>
        <v>100</v>
      </c>
      <c r="R68" s="213">
        <v>56</v>
      </c>
      <c r="S68" s="278">
        <v>0.3</v>
      </c>
      <c r="T68" s="278"/>
      <c r="U68" s="278"/>
      <c r="V68" s="278"/>
      <c r="W68" s="278"/>
      <c r="X68" s="277"/>
      <c r="Y68" s="277"/>
      <c r="Z68" s="277">
        <v>52</v>
      </c>
      <c r="AA68" s="277"/>
      <c r="AB68" s="277"/>
      <c r="AC68" s="277"/>
      <c r="AD68" s="277"/>
      <c r="AE68" s="277"/>
      <c r="AF68" s="280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2"/>
      <c r="AS68" s="281"/>
      <c r="AT68" s="281"/>
      <c r="AU68" s="281"/>
      <c r="AV68" s="281"/>
      <c r="AW68" s="282"/>
      <c r="AX68" s="206"/>
      <c r="AY68" s="187"/>
      <c r="BC68" s="198"/>
      <c r="BE68">
        <f>+I68</f>
        <v>56</v>
      </c>
    </row>
    <row r="69" spans="1:61" ht="15.75" hidden="1" x14ac:dyDescent="0.25">
      <c r="B69" s="187"/>
      <c r="C69" s="187"/>
      <c r="D69" s="187"/>
      <c r="E69" s="187"/>
      <c r="F69" s="187"/>
      <c r="G69" s="188"/>
      <c r="H69" s="189"/>
      <c r="I69" s="201">
        <f t="shared" ref="I69" si="32">+AF69+AH69+AJ69+AL69+AN69+AP69+AR69</f>
        <v>0</v>
      </c>
      <c r="J69" s="190"/>
      <c r="K69" s="200"/>
      <c r="L69" s="201"/>
      <c r="M69" s="201"/>
      <c r="N69" s="201"/>
      <c r="O69" s="201"/>
      <c r="P69" s="201"/>
      <c r="Q69" s="191" t="e">
        <f t="shared" si="30"/>
        <v>#DIV/0!</v>
      </c>
      <c r="R69" s="190">
        <f t="shared" ref="R69:R75" si="33">SUM(X69:AE69)</f>
        <v>0</v>
      </c>
      <c r="S69" s="244"/>
      <c r="T69" s="244"/>
      <c r="U69" s="244"/>
      <c r="V69" s="244"/>
      <c r="W69" s="244"/>
      <c r="X69" s="201"/>
      <c r="Y69" s="201"/>
      <c r="Z69" s="201"/>
      <c r="AA69" s="201"/>
      <c r="AB69" s="201"/>
      <c r="AC69" s="201"/>
      <c r="AD69" s="201"/>
      <c r="AE69" s="201"/>
      <c r="AF69" s="206"/>
      <c r="AG69" s="198"/>
      <c r="AH69" s="198"/>
      <c r="AI69" s="198"/>
      <c r="AJ69" s="198"/>
      <c r="AK69" s="198"/>
      <c r="AL69" s="198"/>
      <c r="AM69" s="254"/>
      <c r="AN69" s="198"/>
      <c r="AO69" s="255"/>
      <c r="AP69" s="198"/>
      <c r="AQ69" s="198"/>
      <c r="AR69" s="256"/>
      <c r="AS69" s="198"/>
      <c r="AT69" s="198"/>
      <c r="AU69" s="198"/>
      <c r="AV69" s="198"/>
      <c r="AW69" s="257"/>
      <c r="AX69" s="206"/>
      <c r="AY69" s="187"/>
      <c r="BC69" s="198"/>
    </row>
    <row r="70" spans="1:61" ht="15.75" x14ac:dyDescent="0.25">
      <c r="B70" s="283" t="s">
        <v>383</v>
      </c>
      <c r="C70" s="187"/>
      <c r="D70" s="187"/>
      <c r="E70" s="187"/>
      <c r="F70" s="187"/>
      <c r="G70" s="188" t="s">
        <v>375</v>
      </c>
      <c r="H70" s="189" t="s">
        <v>84</v>
      </c>
      <c r="I70" s="201">
        <v>204</v>
      </c>
      <c r="J70" s="275">
        <f>+I70*K70</f>
        <v>17340</v>
      </c>
      <c r="K70" s="277">
        <v>85</v>
      </c>
      <c r="L70" s="201"/>
      <c r="M70" s="201"/>
      <c r="N70" s="201"/>
      <c r="O70" s="201"/>
      <c r="P70" s="201"/>
      <c r="Q70" s="191">
        <f t="shared" si="30"/>
        <v>19.607843137254903</v>
      </c>
      <c r="R70" s="190">
        <v>40</v>
      </c>
      <c r="S70" s="244">
        <v>0</v>
      </c>
      <c r="T70" s="244"/>
      <c r="U70" s="244"/>
      <c r="V70" s="244"/>
      <c r="W70" s="244"/>
      <c r="X70" s="201"/>
      <c r="Y70" s="201"/>
      <c r="Z70" s="201"/>
      <c r="AA70" s="201"/>
      <c r="AB70" s="201"/>
      <c r="AC70" s="201"/>
      <c r="AD70" s="201"/>
      <c r="AE70" s="201"/>
      <c r="AF70" s="206"/>
      <c r="AG70" s="198"/>
      <c r="AH70" s="198"/>
      <c r="AI70" s="198"/>
      <c r="AJ70" s="198"/>
      <c r="AK70" s="198"/>
      <c r="AL70" s="198"/>
      <c r="AM70" s="254"/>
      <c r="AN70" s="198"/>
      <c r="AO70" s="255"/>
      <c r="AP70" s="198"/>
      <c r="AQ70" s="198"/>
      <c r="AR70" s="256"/>
      <c r="AS70" s="198"/>
      <c r="AT70" s="198"/>
      <c r="AU70" s="198"/>
      <c r="AV70" s="198"/>
      <c r="AW70" s="257"/>
      <c r="AX70" s="206"/>
      <c r="AY70" s="187"/>
      <c r="BC70" s="198"/>
      <c r="BE70">
        <f>+I70</f>
        <v>204</v>
      </c>
    </row>
    <row r="71" spans="1:61" ht="15.75" x14ac:dyDescent="0.25">
      <c r="B71" s="186" t="s">
        <v>384</v>
      </c>
      <c r="C71" s="187"/>
      <c r="D71" s="187"/>
      <c r="E71" s="187">
        <v>1</v>
      </c>
      <c r="F71" s="187"/>
      <c r="G71" s="188" t="s">
        <v>375</v>
      </c>
      <c r="H71" s="189" t="s">
        <v>24</v>
      </c>
      <c r="I71" s="201">
        <v>69</v>
      </c>
      <c r="J71" s="190">
        <f>+I71*K71</f>
        <v>1035</v>
      </c>
      <c r="K71" s="200">
        <v>15</v>
      </c>
      <c r="L71" s="201"/>
      <c r="M71" s="201"/>
      <c r="N71" s="201"/>
      <c r="O71" s="201"/>
      <c r="P71" s="201"/>
      <c r="Q71" s="191">
        <f>+(R71/I71)*100</f>
        <v>100</v>
      </c>
      <c r="R71" s="190">
        <v>69</v>
      </c>
      <c r="S71" s="244"/>
      <c r="T71" s="244">
        <v>0.15</v>
      </c>
      <c r="U71" s="244"/>
      <c r="V71" s="244"/>
      <c r="W71" s="244"/>
      <c r="X71" s="201"/>
      <c r="Y71" s="201"/>
      <c r="Z71" s="201"/>
      <c r="AA71" s="201"/>
      <c r="AB71" s="201"/>
      <c r="AC71" s="201"/>
      <c r="AD71" s="201"/>
      <c r="AE71" s="201"/>
      <c r="AF71" s="206"/>
      <c r="AG71" s="198"/>
      <c r="AH71" s="198"/>
      <c r="AI71" s="198"/>
      <c r="AJ71" s="198"/>
      <c r="AK71" s="198"/>
      <c r="AL71" s="198"/>
      <c r="AM71" s="254"/>
      <c r="AN71" s="198"/>
      <c r="AO71" s="255"/>
      <c r="AP71" s="198"/>
      <c r="AQ71" s="198"/>
      <c r="AR71" s="256"/>
      <c r="AS71" s="198"/>
      <c r="AT71" s="198"/>
      <c r="AU71" s="198"/>
      <c r="AV71" s="198"/>
      <c r="AW71" s="257"/>
      <c r="AX71" s="206"/>
      <c r="AY71" s="187"/>
      <c r="BC71" s="198"/>
      <c r="BF71">
        <f>+I71</f>
        <v>69</v>
      </c>
    </row>
    <row r="72" spans="1:61" ht="15.75" x14ac:dyDescent="0.25">
      <c r="B72" s="186" t="s">
        <v>385</v>
      </c>
      <c r="C72" s="198"/>
      <c r="D72" s="198"/>
      <c r="E72" s="198"/>
      <c r="F72" s="198"/>
      <c r="G72" s="201" t="s">
        <v>375</v>
      </c>
      <c r="H72" s="201" t="s">
        <v>152</v>
      </c>
      <c r="I72" s="201">
        <v>460</v>
      </c>
      <c r="J72" s="275">
        <f>+I72*K72</f>
        <v>36800</v>
      </c>
      <c r="K72" s="277">
        <v>80</v>
      </c>
      <c r="L72" s="201"/>
      <c r="M72" s="201"/>
      <c r="N72" s="201"/>
      <c r="O72" s="201"/>
      <c r="P72" s="201"/>
      <c r="Q72" s="191">
        <f>+(R72/I72)*100</f>
        <v>0</v>
      </c>
      <c r="R72" s="190">
        <v>0</v>
      </c>
      <c r="S72" s="244">
        <f>+I72/60</f>
        <v>7.666666666666667</v>
      </c>
      <c r="T72" s="244"/>
      <c r="U72" s="244"/>
      <c r="V72" s="244"/>
      <c r="W72" s="244"/>
      <c r="X72" s="201"/>
      <c r="Y72" s="201"/>
      <c r="Z72" s="201"/>
      <c r="AA72" s="201"/>
      <c r="AB72" s="201"/>
      <c r="AC72" s="201"/>
      <c r="AD72" s="201"/>
      <c r="AE72" s="201"/>
      <c r="AF72" s="206"/>
      <c r="AG72" s="198"/>
      <c r="AH72" s="198"/>
      <c r="AI72" s="198"/>
      <c r="AJ72" s="198"/>
      <c r="AK72" s="198"/>
      <c r="AL72" s="198"/>
      <c r="AM72" s="254"/>
      <c r="AN72" s="198"/>
      <c r="AO72" s="255"/>
      <c r="AP72" s="198"/>
      <c r="AQ72" s="198"/>
      <c r="AR72" s="256"/>
      <c r="AS72" s="198"/>
      <c r="AT72" s="198"/>
      <c r="AU72" s="198"/>
      <c r="AV72" s="198"/>
      <c r="AW72" s="257"/>
      <c r="AX72" s="206"/>
      <c r="AY72" s="187"/>
      <c r="BC72" s="198"/>
      <c r="BE72">
        <f>+I72</f>
        <v>460</v>
      </c>
    </row>
    <row r="73" spans="1:61" ht="16.5" thickBot="1" x14ac:dyDescent="0.3">
      <c r="B73" s="187"/>
      <c r="C73" s="187"/>
      <c r="D73" s="187"/>
      <c r="E73" s="187"/>
      <c r="F73" s="187"/>
      <c r="G73" s="188"/>
      <c r="H73" s="189"/>
      <c r="I73" s="258">
        <f>SUM(I49:I72)</f>
        <v>4646</v>
      </c>
      <c r="J73" s="190">
        <f>SUM(J49:J72)</f>
        <v>437042</v>
      </c>
      <c r="K73" s="277">
        <f>+J73/I73</f>
        <v>94.06844597503229</v>
      </c>
      <c r="L73" s="201"/>
      <c r="M73" s="201"/>
      <c r="N73" s="201"/>
      <c r="O73" s="201"/>
      <c r="P73" s="201"/>
      <c r="Q73" s="191">
        <f t="shared" si="30"/>
        <v>34.831037451571248</v>
      </c>
      <c r="R73" s="190">
        <f>SUM(R49:R72)</f>
        <v>1618.25</v>
      </c>
      <c r="S73" s="244"/>
      <c r="T73" s="244"/>
      <c r="U73" s="244"/>
      <c r="V73" s="244"/>
      <c r="W73" s="244"/>
      <c r="X73" s="201"/>
      <c r="Y73" s="201"/>
      <c r="Z73" s="201"/>
      <c r="AA73" s="201"/>
      <c r="AB73" s="201"/>
      <c r="AC73" s="201"/>
      <c r="AD73" s="201"/>
      <c r="AE73" s="201"/>
      <c r="AF73" s="206"/>
      <c r="AG73" s="198"/>
      <c r="AH73" s="198"/>
      <c r="AI73" s="198"/>
      <c r="AJ73" s="198"/>
      <c r="AK73" s="198"/>
      <c r="AL73" s="198"/>
      <c r="AM73" s="254"/>
      <c r="AN73" s="198"/>
      <c r="AO73" s="255"/>
      <c r="AP73" s="198"/>
      <c r="AQ73" s="198"/>
      <c r="AR73" s="256"/>
      <c r="AS73" s="198"/>
      <c r="AT73" s="198"/>
      <c r="AU73" s="198"/>
      <c r="AV73" s="198"/>
      <c r="AW73" s="257"/>
      <c r="AX73" s="206"/>
      <c r="AY73" s="187"/>
      <c r="BC73" s="198"/>
    </row>
    <row r="74" spans="1:61" ht="18.75" x14ac:dyDescent="0.3">
      <c r="B74" s="185" t="s">
        <v>284</v>
      </c>
      <c r="C74" s="187"/>
      <c r="D74" s="187"/>
      <c r="E74" s="187"/>
      <c r="F74" s="187"/>
      <c r="G74" s="188"/>
      <c r="H74" s="189"/>
      <c r="I74" s="190"/>
      <c r="J74" s="190"/>
      <c r="K74" s="277"/>
      <c r="L74" s="201"/>
      <c r="M74" s="201"/>
      <c r="N74" s="201"/>
      <c r="O74" s="201"/>
      <c r="P74" s="201"/>
      <c r="Q74" s="191"/>
      <c r="R74" s="190"/>
      <c r="S74" s="244"/>
      <c r="T74" s="244"/>
      <c r="U74" s="244"/>
      <c r="V74" s="244"/>
      <c r="W74" s="244"/>
      <c r="X74" s="201"/>
      <c r="Y74" s="201"/>
      <c r="Z74" s="201"/>
      <c r="AA74" s="201"/>
      <c r="AB74" s="201"/>
      <c r="AC74" s="201"/>
      <c r="AD74" s="201"/>
      <c r="AE74" s="201"/>
      <c r="AF74" s="206"/>
      <c r="AG74" s="198"/>
      <c r="AH74" s="198"/>
      <c r="AI74" s="198"/>
      <c r="AJ74" s="198"/>
      <c r="AK74" s="198"/>
      <c r="AL74" s="198"/>
      <c r="AM74" s="254"/>
      <c r="AN74" s="198"/>
      <c r="AO74" s="255"/>
      <c r="AP74" s="198"/>
      <c r="AQ74" s="198"/>
      <c r="AR74" s="256"/>
      <c r="AS74" s="198"/>
      <c r="AT74" s="198"/>
      <c r="AU74" s="198"/>
      <c r="AV74" s="198"/>
      <c r="AW74" s="257"/>
      <c r="AX74" s="206"/>
      <c r="AY74" s="187"/>
      <c r="BC74" s="198"/>
    </row>
    <row r="75" spans="1:61" ht="15.75" hidden="1" x14ac:dyDescent="0.25">
      <c r="A75" t="e">
        <f>+#REF!+1</f>
        <v>#REF!</v>
      </c>
      <c r="B75" s="199"/>
      <c r="C75" s="187"/>
      <c r="D75" s="187"/>
      <c r="E75" s="187"/>
      <c r="F75" s="187"/>
      <c r="G75" s="188" t="s">
        <v>386</v>
      </c>
      <c r="H75" s="189"/>
      <c r="I75" s="201"/>
      <c r="J75" s="190"/>
      <c r="K75" s="200"/>
      <c r="L75" s="201"/>
      <c r="M75" s="201"/>
      <c r="N75" s="201"/>
      <c r="O75" s="201"/>
      <c r="P75" s="201"/>
      <c r="Q75" s="191" t="e">
        <f t="shared" si="30"/>
        <v>#DIV/0!</v>
      </c>
      <c r="R75" s="190">
        <f t="shared" si="33"/>
        <v>0</v>
      </c>
      <c r="S75" s="244"/>
      <c r="T75" s="244"/>
      <c r="U75" s="244"/>
      <c r="V75" s="244"/>
      <c r="W75" s="244"/>
      <c r="X75" s="201"/>
      <c r="Y75" s="201"/>
      <c r="Z75" s="201"/>
      <c r="AA75" s="201"/>
      <c r="AB75" s="201"/>
      <c r="AC75" s="201"/>
      <c r="AD75" s="201"/>
      <c r="AE75" s="201"/>
      <c r="AF75" s="206"/>
      <c r="AG75" s="198"/>
      <c r="AH75" s="198"/>
      <c r="AI75" s="198"/>
      <c r="AJ75" s="198"/>
      <c r="AK75" s="284"/>
      <c r="AL75" s="198"/>
      <c r="AM75" s="284"/>
      <c r="AN75" s="198"/>
      <c r="AO75" s="284"/>
      <c r="AP75" s="198"/>
      <c r="AQ75" s="284"/>
      <c r="AR75" s="256"/>
      <c r="AS75" s="284"/>
      <c r="AT75" s="198"/>
      <c r="AU75" s="284"/>
      <c r="AV75" s="198"/>
      <c r="AW75" s="257"/>
      <c r="AX75" s="206"/>
      <c r="AY75" s="187"/>
      <c r="AZ75">
        <v>2014</v>
      </c>
      <c r="BA75" t="e">
        <f>+#REF!</f>
        <v>#REF!</v>
      </c>
      <c r="BC75" s="198"/>
    </row>
    <row r="76" spans="1:61" ht="15.75" x14ac:dyDescent="0.25">
      <c r="B76" s="186" t="s">
        <v>56</v>
      </c>
      <c r="C76" s="187"/>
      <c r="D76" s="187"/>
      <c r="E76" s="187"/>
      <c r="F76" s="187"/>
      <c r="G76" s="188" t="s">
        <v>386</v>
      </c>
      <c r="H76" s="189" t="s">
        <v>41</v>
      </c>
      <c r="I76" s="201">
        <v>12</v>
      </c>
      <c r="J76" s="190">
        <f>+I76*K76</f>
        <v>960</v>
      </c>
      <c r="K76" s="200">
        <v>80</v>
      </c>
      <c r="L76" s="201"/>
      <c r="M76" s="201"/>
      <c r="N76" s="201"/>
      <c r="O76" s="201"/>
      <c r="P76" s="201"/>
      <c r="Q76" s="191"/>
      <c r="R76" s="190">
        <v>0</v>
      </c>
      <c r="S76" s="244">
        <v>0.13</v>
      </c>
      <c r="T76" s="244"/>
      <c r="U76" s="244"/>
      <c r="V76" s="244"/>
      <c r="W76" s="244"/>
      <c r="X76" s="201"/>
      <c r="Y76" s="201"/>
      <c r="Z76" s="201"/>
      <c r="AA76" s="201"/>
      <c r="AB76" s="201"/>
      <c r="AC76" s="201"/>
      <c r="AD76" s="201"/>
      <c r="AE76" s="201"/>
      <c r="AF76" s="206"/>
      <c r="AG76" s="198"/>
      <c r="AH76" s="198"/>
      <c r="AI76" s="198"/>
      <c r="AJ76" s="198"/>
      <c r="AK76" s="284"/>
      <c r="AL76" s="198"/>
      <c r="AM76" s="284"/>
      <c r="AN76" s="198"/>
      <c r="AO76" s="284"/>
      <c r="AP76" s="198"/>
      <c r="AQ76" s="284"/>
      <c r="AR76" s="256"/>
      <c r="AS76" s="284"/>
      <c r="AT76" s="198"/>
      <c r="AU76" s="284"/>
      <c r="AV76" s="198"/>
      <c r="AW76" s="257"/>
      <c r="AX76" s="206"/>
      <c r="AY76" s="187"/>
      <c r="BC76" s="198"/>
      <c r="BE76">
        <f>+I76</f>
        <v>12</v>
      </c>
    </row>
    <row r="77" spans="1:61" ht="15.75" x14ac:dyDescent="0.25">
      <c r="B77" s="186" t="s">
        <v>55</v>
      </c>
      <c r="C77" s="187">
        <v>1</v>
      </c>
      <c r="D77" s="187"/>
      <c r="E77" s="187">
        <v>1</v>
      </c>
      <c r="F77" s="187"/>
      <c r="G77" s="188" t="s">
        <v>386</v>
      </c>
      <c r="H77" s="189" t="s">
        <v>41</v>
      </c>
      <c r="I77" s="201">
        <v>20</v>
      </c>
      <c r="J77" s="190">
        <f>+I77*K77</f>
        <v>1600</v>
      </c>
      <c r="K77" s="200">
        <v>80</v>
      </c>
      <c r="L77" s="201"/>
      <c r="M77" s="201"/>
      <c r="N77" s="201"/>
      <c r="O77" s="201"/>
      <c r="P77" s="201"/>
      <c r="Q77" s="191">
        <f>+(R77/I77)*100</f>
        <v>50</v>
      </c>
      <c r="R77" s="190">
        <f t="shared" ref="R77" si="34">SUM(X77:AE77)</f>
        <v>10</v>
      </c>
      <c r="S77" s="244">
        <v>0.1</v>
      </c>
      <c r="T77" s="244"/>
      <c r="U77" s="244"/>
      <c r="V77" s="244"/>
      <c r="W77" s="244"/>
      <c r="X77" s="201"/>
      <c r="Y77" s="201"/>
      <c r="Z77" s="201"/>
      <c r="AA77" s="201"/>
      <c r="AB77" s="201"/>
      <c r="AC77" s="201">
        <v>10</v>
      </c>
      <c r="AD77" s="201"/>
      <c r="AE77" s="201"/>
      <c r="AF77" s="206"/>
      <c r="AG77" s="198"/>
      <c r="AH77" s="198"/>
      <c r="AI77" s="198"/>
      <c r="AJ77" s="198"/>
      <c r="AK77" s="198"/>
      <c r="AL77" s="198"/>
      <c r="AM77" s="254"/>
      <c r="AN77" s="198"/>
      <c r="AO77" s="255"/>
      <c r="AP77" s="198"/>
      <c r="AQ77" s="198"/>
      <c r="AR77" s="256"/>
      <c r="AS77" s="198"/>
      <c r="AT77" s="198"/>
      <c r="AU77" s="198"/>
      <c r="AV77" s="198"/>
      <c r="AW77" s="257"/>
      <c r="AX77" s="206"/>
      <c r="AY77" s="187"/>
      <c r="BC77" s="198"/>
      <c r="BE77">
        <f t="shared" ref="BE77:BE81" si="35">+I77</f>
        <v>20</v>
      </c>
    </row>
    <row r="78" spans="1:61" ht="15.75" x14ac:dyDescent="0.25">
      <c r="A78" t="e">
        <f>+#REF!+1</f>
        <v>#REF!</v>
      </c>
      <c r="B78" s="272" t="s">
        <v>387</v>
      </c>
      <c r="C78" s="273"/>
      <c r="D78" s="273"/>
      <c r="E78" s="273"/>
      <c r="F78" s="273"/>
      <c r="G78" s="188" t="s">
        <v>386</v>
      </c>
      <c r="H78" s="189" t="s">
        <v>70</v>
      </c>
      <c r="I78" s="201">
        <v>400</v>
      </c>
      <c r="J78" s="190">
        <f t="shared" ref="J78:J93" si="36">+I78*K78</f>
        <v>36000</v>
      </c>
      <c r="K78" s="276">
        <v>90</v>
      </c>
      <c r="L78" s="246"/>
      <c r="M78" s="246"/>
      <c r="N78" s="246"/>
      <c r="O78" s="246"/>
      <c r="P78" s="246"/>
      <c r="Q78" s="285">
        <v>25</v>
      </c>
      <c r="R78" s="275">
        <f>+I78*0.25</f>
        <v>100</v>
      </c>
      <c r="S78" s="286">
        <v>2.25</v>
      </c>
      <c r="T78" s="286"/>
      <c r="U78" s="286"/>
      <c r="V78" s="286"/>
      <c r="W78" s="286"/>
      <c r="X78" s="246"/>
      <c r="Y78" s="246"/>
      <c r="Z78" s="246"/>
      <c r="AA78" s="246"/>
      <c r="AB78" s="246"/>
      <c r="AC78" s="246"/>
      <c r="AD78" s="246"/>
      <c r="AE78" s="246"/>
      <c r="AF78" s="280"/>
      <c r="AG78" s="281"/>
      <c r="AH78" s="281"/>
      <c r="AI78" s="281"/>
      <c r="AJ78" s="281"/>
      <c r="AK78" s="281"/>
      <c r="AL78" s="281"/>
      <c r="AM78" s="281"/>
      <c r="AN78" s="281"/>
      <c r="AO78" s="287"/>
      <c r="AP78" s="282"/>
      <c r="AQ78" s="288"/>
      <c r="AS78" s="281"/>
      <c r="AT78" s="281"/>
      <c r="AU78" s="281"/>
      <c r="AV78" s="281"/>
      <c r="AW78" s="282"/>
      <c r="AX78" s="206"/>
      <c r="AY78" s="187"/>
      <c r="BC78" s="198"/>
      <c r="BE78">
        <f t="shared" si="35"/>
        <v>400</v>
      </c>
    </row>
    <row r="79" spans="1:61" ht="15.75" x14ac:dyDescent="0.25">
      <c r="A79" t="e">
        <f t="shared" ref="A79:A83" si="37">+A78+1</f>
        <v>#REF!</v>
      </c>
      <c r="B79" s="186" t="s">
        <v>141</v>
      </c>
      <c r="C79" s="273"/>
      <c r="D79" s="273"/>
      <c r="E79" s="273"/>
      <c r="F79" s="273"/>
      <c r="G79" s="188" t="s">
        <v>386</v>
      </c>
      <c r="H79" s="189" t="s">
        <v>142</v>
      </c>
      <c r="I79" s="201">
        <v>1500</v>
      </c>
      <c r="J79" s="275">
        <f t="shared" si="36"/>
        <v>150000</v>
      </c>
      <c r="K79" s="276">
        <v>100</v>
      </c>
      <c r="L79" s="246"/>
      <c r="M79" s="246"/>
      <c r="N79" s="246"/>
      <c r="O79" s="246"/>
      <c r="P79" s="246"/>
      <c r="Q79" s="191">
        <v>25</v>
      </c>
      <c r="R79" s="275">
        <f>+I79*0.25</f>
        <v>375</v>
      </c>
      <c r="S79" s="286">
        <v>42</v>
      </c>
      <c r="T79" s="286"/>
      <c r="U79" s="286">
        <v>0</v>
      </c>
      <c r="V79" s="286"/>
      <c r="W79" s="286">
        <v>0</v>
      </c>
      <c r="X79" s="246"/>
      <c r="Y79" s="246"/>
      <c r="Z79" s="246"/>
      <c r="AA79" s="246"/>
      <c r="AB79" s="246"/>
      <c r="AC79" s="246"/>
      <c r="AD79" s="246"/>
      <c r="AE79" s="246"/>
      <c r="AF79" s="280"/>
      <c r="AG79" s="281"/>
      <c r="AH79" s="281"/>
      <c r="AI79" s="281"/>
      <c r="AJ79" s="281"/>
      <c r="AK79" s="281"/>
      <c r="AL79" s="281"/>
      <c r="AM79" s="281"/>
      <c r="AN79" s="281"/>
      <c r="AO79" s="287"/>
      <c r="AP79" s="282"/>
      <c r="AQ79" s="288"/>
      <c r="AS79" s="281"/>
      <c r="AT79" s="281"/>
      <c r="AU79" s="281"/>
      <c r="AV79" s="281"/>
      <c r="AW79" s="282"/>
      <c r="AX79" s="206"/>
      <c r="AY79" s="187"/>
      <c r="BC79" s="198"/>
      <c r="BE79">
        <f t="shared" si="35"/>
        <v>1500</v>
      </c>
    </row>
    <row r="80" spans="1:61" ht="15.75" x14ac:dyDescent="0.25">
      <c r="A80" t="e">
        <f t="shared" si="37"/>
        <v>#REF!</v>
      </c>
      <c r="B80" s="186" t="s">
        <v>143</v>
      </c>
      <c r="C80" s="273"/>
      <c r="D80" s="273"/>
      <c r="E80" s="273"/>
      <c r="F80" s="273"/>
      <c r="G80" s="188" t="s">
        <v>386</v>
      </c>
      <c r="H80" s="189" t="s">
        <v>142</v>
      </c>
      <c r="I80" s="201">
        <v>1500</v>
      </c>
      <c r="J80" s="275">
        <f t="shared" si="36"/>
        <v>150000</v>
      </c>
      <c r="K80" s="276">
        <v>100</v>
      </c>
      <c r="L80" s="246"/>
      <c r="M80" s="246"/>
      <c r="N80" s="246"/>
      <c r="O80" s="246"/>
      <c r="P80" s="246"/>
      <c r="Q80" s="191">
        <v>25</v>
      </c>
      <c r="R80" s="275">
        <f>+I80*0.25</f>
        <v>375</v>
      </c>
      <c r="S80" s="286">
        <v>0</v>
      </c>
      <c r="T80" s="286"/>
      <c r="U80" s="286">
        <v>0</v>
      </c>
      <c r="V80" s="286">
        <v>5</v>
      </c>
      <c r="W80" s="286">
        <v>0</v>
      </c>
      <c r="X80" s="246"/>
      <c r="Y80" s="246"/>
      <c r="Z80" s="246"/>
      <c r="AA80" s="246"/>
      <c r="AB80" s="246"/>
      <c r="AC80" s="246"/>
      <c r="AD80" s="246"/>
      <c r="AE80" s="246"/>
      <c r="AF80" s="280"/>
      <c r="AG80" s="281"/>
      <c r="AH80" s="281"/>
      <c r="AI80" s="281"/>
      <c r="AJ80" s="281"/>
      <c r="AK80" s="281"/>
      <c r="AL80" s="281"/>
      <c r="AM80" s="281"/>
      <c r="AN80" s="281"/>
      <c r="AO80" s="287"/>
      <c r="AP80" s="282"/>
      <c r="AQ80" s="288"/>
      <c r="AS80" s="281"/>
      <c r="AT80" s="281"/>
      <c r="AU80" s="281"/>
      <c r="AV80" s="281"/>
      <c r="AW80" s="282"/>
      <c r="AX80" s="206"/>
      <c r="AY80" s="187"/>
      <c r="BC80" s="198"/>
      <c r="BE80">
        <v>1400</v>
      </c>
      <c r="BH80">
        <v>200</v>
      </c>
    </row>
    <row r="81" spans="1:61" ht="15.75" x14ac:dyDescent="0.25">
      <c r="A81" t="e">
        <f t="shared" si="37"/>
        <v>#REF!</v>
      </c>
      <c r="B81" s="186" t="s">
        <v>146</v>
      </c>
      <c r="C81" s="273"/>
      <c r="D81" s="273"/>
      <c r="E81" s="273"/>
      <c r="F81" s="273"/>
      <c r="G81" s="188" t="s">
        <v>386</v>
      </c>
      <c r="H81" s="189" t="s">
        <v>142</v>
      </c>
      <c r="I81" s="201">
        <v>1500</v>
      </c>
      <c r="J81" s="275">
        <f t="shared" si="36"/>
        <v>150000</v>
      </c>
      <c r="K81" s="276">
        <v>100</v>
      </c>
      <c r="L81" s="246"/>
      <c r="M81" s="246"/>
      <c r="N81" s="246"/>
      <c r="O81" s="246"/>
      <c r="P81" s="246"/>
      <c r="Q81" s="191">
        <v>25</v>
      </c>
      <c r="R81" s="275">
        <f>+I81*0.25</f>
        <v>375</v>
      </c>
      <c r="S81" s="286">
        <v>0</v>
      </c>
      <c r="T81" s="286"/>
      <c r="U81" s="286">
        <v>0</v>
      </c>
      <c r="V81" s="286"/>
      <c r="W81" s="286">
        <v>0</v>
      </c>
      <c r="X81" s="246"/>
      <c r="Y81" s="246"/>
      <c r="Z81" s="246"/>
      <c r="AA81" s="246"/>
      <c r="AB81" s="246"/>
      <c r="AC81" s="246"/>
      <c r="AD81" s="246"/>
      <c r="AE81" s="246"/>
      <c r="AF81" s="280"/>
      <c r="AG81" s="281"/>
      <c r="AH81" s="281"/>
      <c r="AI81" s="281"/>
      <c r="AJ81" s="281"/>
      <c r="AK81" s="281"/>
      <c r="AL81" s="281"/>
      <c r="AM81" s="281"/>
      <c r="AN81" s="281"/>
      <c r="AO81" s="287"/>
      <c r="AP81" s="282"/>
      <c r="AQ81" s="288"/>
      <c r="AS81" s="281"/>
      <c r="AT81" s="281"/>
      <c r="AU81" s="281"/>
      <c r="AV81" s="281"/>
      <c r="AW81" s="282"/>
      <c r="AX81" s="206"/>
      <c r="AY81" s="187"/>
      <c r="BC81" s="198"/>
      <c r="BE81">
        <f t="shared" si="35"/>
        <v>1500</v>
      </c>
    </row>
    <row r="82" spans="1:61" ht="15.75" x14ac:dyDescent="0.25">
      <c r="A82" t="e">
        <f t="shared" si="37"/>
        <v>#REF!</v>
      </c>
      <c r="B82" s="186" t="s">
        <v>75</v>
      </c>
      <c r="C82" s="187"/>
      <c r="D82" s="187"/>
      <c r="E82" s="187"/>
      <c r="F82" s="187"/>
      <c r="G82" s="188" t="s">
        <v>386</v>
      </c>
      <c r="H82" s="189" t="s">
        <v>70</v>
      </c>
      <c r="I82" s="201">
        <v>140</v>
      </c>
      <c r="J82" s="190">
        <f t="shared" si="36"/>
        <v>8400</v>
      </c>
      <c r="K82" s="289">
        <v>60</v>
      </c>
      <c r="L82" s="198"/>
      <c r="M82" s="198"/>
      <c r="N82" s="198"/>
      <c r="O82" s="198"/>
      <c r="P82" s="198"/>
      <c r="Q82" s="191">
        <f t="shared" ref="Q82:Q86" si="38">+(R82/I82)*100</f>
        <v>100</v>
      </c>
      <c r="R82" s="190">
        <f>SUM(X82:BC82)</f>
        <v>140</v>
      </c>
      <c r="S82" s="244"/>
      <c r="T82" s="244">
        <v>3</v>
      </c>
      <c r="U82" s="244"/>
      <c r="V82" s="244"/>
      <c r="W82" s="244"/>
      <c r="X82" s="200"/>
      <c r="Y82" s="200"/>
      <c r="Z82" s="200">
        <v>48</v>
      </c>
      <c r="AA82" s="200">
        <v>48</v>
      </c>
      <c r="AB82" s="200"/>
      <c r="AC82" s="200">
        <v>4</v>
      </c>
      <c r="AD82" s="200"/>
      <c r="AE82" s="200"/>
      <c r="AF82" s="280"/>
      <c r="AG82" s="281"/>
      <c r="AH82" s="281"/>
      <c r="AI82" s="281"/>
      <c r="AJ82" s="281"/>
      <c r="AK82" s="281"/>
      <c r="AL82" s="281"/>
      <c r="AM82" s="281"/>
      <c r="AN82" s="281"/>
      <c r="AO82" s="287"/>
      <c r="AP82" s="282"/>
      <c r="AQ82" s="288"/>
      <c r="AS82" s="281"/>
      <c r="AT82" s="281"/>
      <c r="AU82" s="281"/>
      <c r="AV82" s="281"/>
      <c r="AW82" s="282"/>
      <c r="AX82" s="206"/>
      <c r="AY82" s="187"/>
      <c r="BC82" s="198">
        <v>40</v>
      </c>
      <c r="BF82">
        <f>+I82</f>
        <v>140</v>
      </c>
    </row>
    <row r="83" spans="1:61" ht="15.75" x14ac:dyDescent="0.25">
      <c r="A83" t="e">
        <f t="shared" si="37"/>
        <v>#REF!</v>
      </c>
      <c r="B83" s="186" t="s">
        <v>77</v>
      </c>
      <c r="C83" s="187"/>
      <c r="D83" s="187"/>
      <c r="E83" s="187"/>
      <c r="F83" s="187"/>
      <c r="G83" s="188" t="s">
        <v>386</v>
      </c>
      <c r="H83" s="189" t="s">
        <v>70</v>
      </c>
      <c r="I83" s="201">
        <v>250</v>
      </c>
      <c r="J83" s="190">
        <f t="shared" si="36"/>
        <v>17500</v>
      </c>
      <c r="K83" s="201">
        <v>70</v>
      </c>
      <c r="L83" s="198"/>
      <c r="M83" s="198"/>
      <c r="N83" s="198"/>
      <c r="O83" s="198"/>
      <c r="P83" s="198"/>
      <c r="Q83" s="191">
        <f t="shared" si="38"/>
        <v>40</v>
      </c>
      <c r="R83" s="213">
        <v>100</v>
      </c>
      <c r="S83" s="245"/>
      <c r="T83" s="245">
        <v>3</v>
      </c>
      <c r="U83" s="245">
        <v>0.6</v>
      </c>
      <c r="V83" s="245"/>
      <c r="W83" s="245"/>
      <c r="X83" s="200"/>
      <c r="Y83" s="200"/>
      <c r="Z83" s="200"/>
      <c r="AA83" s="200"/>
      <c r="AB83" s="200"/>
      <c r="AC83" s="200"/>
      <c r="AD83" s="200"/>
      <c r="AE83" s="200"/>
      <c r="AF83" s="280"/>
      <c r="AG83" s="281"/>
      <c r="AH83" s="281"/>
      <c r="AI83" s="281"/>
      <c r="AJ83" s="281"/>
      <c r="AK83" s="281"/>
      <c r="AL83" s="281"/>
      <c r="AM83" s="281"/>
      <c r="AN83" s="281"/>
      <c r="AO83" s="287"/>
      <c r="AP83" s="282"/>
      <c r="AQ83" s="288"/>
      <c r="AS83" s="281"/>
      <c r="AT83" s="281"/>
      <c r="AU83" s="281"/>
      <c r="AV83" s="281"/>
      <c r="AW83" s="282"/>
      <c r="AX83" s="206"/>
      <c r="AY83" s="187"/>
      <c r="BC83" s="198">
        <v>50</v>
      </c>
      <c r="BE83" s="290">
        <f>+I83-BF83</f>
        <v>208.25</v>
      </c>
      <c r="BF83" s="290">
        <f>+I83*0.167</f>
        <v>41.75</v>
      </c>
    </row>
    <row r="84" spans="1:61" ht="15.75" x14ac:dyDescent="0.25">
      <c r="A84" t="e">
        <f>+A83+1</f>
        <v>#REF!</v>
      </c>
      <c r="B84" s="247" t="s">
        <v>388</v>
      </c>
      <c r="C84" s="210">
        <v>1</v>
      </c>
      <c r="D84" s="210"/>
      <c r="E84" s="210"/>
      <c r="F84" s="210"/>
      <c r="G84" s="188" t="s">
        <v>386</v>
      </c>
      <c r="H84" s="212" t="s">
        <v>24</v>
      </c>
      <c r="I84" s="217">
        <v>1200</v>
      </c>
      <c r="J84" s="190">
        <f t="shared" si="36"/>
        <v>108000</v>
      </c>
      <c r="K84" s="276">
        <v>90</v>
      </c>
      <c r="L84" s="291"/>
      <c r="M84" s="291"/>
      <c r="N84" s="291"/>
      <c r="O84" s="291"/>
      <c r="P84" s="291"/>
      <c r="Q84" s="191">
        <f t="shared" si="38"/>
        <v>34.916666666666671</v>
      </c>
      <c r="R84" s="213">
        <f>SUM(X84:BC84)</f>
        <v>419</v>
      </c>
      <c r="S84" s="245">
        <v>9</v>
      </c>
      <c r="T84" s="245"/>
      <c r="U84" s="245"/>
      <c r="V84" s="245"/>
      <c r="W84" s="245">
        <v>4</v>
      </c>
      <c r="X84" s="218">
        <v>87</v>
      </c>
      <c r="Y84" s="218"/>
      <c r="Z84" s="218">
        <v>152</v>
      </c>
      <c r="AA84" s="218"/>
      <c r="AB84" s="218"/>
      <c r="AC84" s="218">
        <v>8</v>
      </c>
      <c r="AD84" s="218"/>
      <c r="AE84" s="218">
        <v>100</v>
      </c>
      <c r="AF84" s="280"/>
      <c r="AG84" s="281"/>
      <c r="AH84" s="281"/>
      <c r="AI84" s="281"/>
      <c r="AJ84" s="281"/>
      <c r="AK84" s="281"/>
      <c r="AL84" s="281"/>
      <c r="AM84" s="281"/>
      <c r="AN84" s="281"/>
      <c r="AO84" s="287"/>
      <c r="AP84" s="282"/>
      <c r="AQ84" s="288"/>
      <c r="AS84" s="281"/>
      <c r="AT84" s="281"/>
      <c r="AU84" s="281"/>
      <c r="AV84" s="281"/>
      <c r="AW84" s="282"/>
      <c r="AX84" s="206"/>
      <c r="AY84" s="187"/>
      <c r="BC84" s="198">
        <v>72</v>
      </c>
      <c r="BE84">
        <v>1000</v>
      </c>
      <c r="BI84">
        <v>200</v>
      </c>
    </row>
    <row r="85" spans="1:61" ht="15.75" x14ac:dyDescent="0.25">
      <c r="A85" t="e">
        <f>+A84+1</f>
        <v>#REF!</v>
      </c>
      <c r="B85" s="186" t="s">
        <v>15</v>
      </c>
      <c r="C85" s="187"/>
      <c r="D85" s="187"/>
      <c r="E85" s="187"/>
      <c r="F85" s="187"/>
      <c r="G85" s="188" t="s">
        <v>386</v>
      </c>
      <c r="H85" s="189" t="s">
        <v>8</v>
      </c>
      <c r="I85" s="201">
        <v>100</v>
      </c>
      <c r="J85" s="190">
        <f t="shared" si="36"/>
        <v>9000</v>
      </c>
      <c r="K85" s="276">
        <v>90</v>
      </c>
      <c r="L85" s="198"/>
      <c r="M85" s="198"/>
      <c r="N85" s="198"/>
      <c r="O85" s="198"/>
      <c r="P85" s="198"/>
      <c r="Q85" s="191">
        <f t="shared" si="38"/>
        <v>25</v>
      </c>
      <c r="R85" s="190">
        <f>+I85*0.25</f>
        <v>25</v>
      </c>
      <c r="S85" s="244"/>
      <c r="T85" s="244">
        <v>0.5</v>
      </c>
      <c r="U85" s="244"/>
      <c r="V85" s="244"/>
      <c r="W85" s="244"/>
      <c r="X85" s="200"/>
      <c r="Y85" s="200"/>
      <c r="Z85" s="200"/>
      <c r="AA85" s="200"/>
      <c r="AB85" s="200"/>
      <c r="AC85" s="200"/>
      <c r="AD85" s="200"/>
      <c r="AE85" s="200"/>
      <c r="AF85" s="292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93"/>
      <c r="AS85" s="279"/>
      <c r="AT85" s="279"/>
      <c r="AU85" s="279"/>
      <c r="AV85" s="279"/>
      <c r="AW85" s="293"/>
      <c r="AX85" s="206"/>
      <c r="AY85" s="187"/>
      <c r="BC85" s="198"/>
      <c r="BF85">
        <f>+I85</f>
        <v>100</v>
      </c>
    </row>
    <row r="86" spans="1:61" ht="15.75" x14ac:dyDescent="0.25">
      <c r="A86">
        <v>68</v>
      </c>
      <c r="B86" s="186" t="s">
        <v>389</v>
      </c>
      <c r="C86" s="187"/>
      <c r="D86" s="187"/>
      <c r="E86" s="187"/>
      <c r="F86" s="187"/>
      <c r="G86" s="188" t="s">
        <v>386</v>
      </c>
      <c r="H86" s="189" t="s">
        <v>116</v>
      </c>
      <c r="I86" s="201">
        <v>450</v>
      </c>
      <c r="J86" s="190">
        <f t="shared" si="36"/>
        <v>40500</v>
      </c>
      <c r="K86" s="276">
        <v>90</v>
      </c>
      <c r="L86" s="198"/>
      <c r="M86" s="198"/>
      <c r="N86" s="198"/>
      <c r="O86" s="198"/>
      <c r="P86" s="198"/>
      <c r="Q86" s="191">
        <f t="shared" si="38"/>
        <v>4.8888888888888893</v>
      </c>
      <c r="R86" s="190">
        <v>22</v>
      </c>
      <c r="S86" s="244">
        <v>2.6</v>
      </c>
      <c r="T86" s="244"/>
      <c r="U86" s="244"/>
      <c r="V86" s="244"/>
      <c r="W86" s="244"/>
      <c r="X86" s="200"/>
      <c r="Y86" s="200"/>
      <c r="Z86" s="200"/>
      <c r="AA86" s="200"/>
      <c r="AB86" s="200"/>
      <c r="AC86" s="200"/>
      <c r="AD86" s="200"/>
      <c r="AE86" s="200"/>
      <c r="AF86" s="292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81"/>
      <c r="AR86" s="293"/>
      <c r="AS86" s="281"/>
      <c r="AT86" s="279"/>
      <c r="AU86" s="281"/>
      <c r="AV86" s="279"/>
      <c r="AW86" s="293"/>
      <c r="AX86" s="259"/>
      <c r="AY86" s="187"/>
      <c r="BC86" s="198"/>
      <c r="BE86">
        <f>+I86</f>
        <v>450</v>
      </c>
    </row>
    <row r="87" spans="1:61" ht="15.75" x14ac:dyDescent="0.25">
      <c r="B87" s="186" t="s">
        <v>390</v>
      </c>
      <c r="C87" s="294"/>
      <c r="D87" s="294"/>
      <c r="E87" s="294"/>
      <c r="F87" s="294"/>
      <c r="G87" s="188" t="s">
        <v>386</v>
      </c>
      <c r="H87" s="189" t="s">
        <v>116</v>
      </c>
      <c r="I87" s="201">
        <v>1000</v>
      </c>
      <c r="J87" s="190">
        <f>+I87*K87</f>
        <v>90000</v>
      </c>
      <c r="K87" s="276">
        <v>90</v>
      </c>
      <c r="L87" s="198"/>
      <c r="M87" s="198"/>
      <c r="N87" s="198"/>
      <c r="O87" s="198"/>
      <c r="P87" s="198"/>
      <c r="Q87" s="191">
        <v>25</v>
      </c>
      <c r="R87" s="190">
        <f>+I87*0.25</f>
        <v>250</v>
      </c>
      <c r="S87" s="244">
        <v>5.5</v>
      </c>
      <c r="T87" s="244"/>
      <c r="U87" s="244"/>
      <c r="V87" s="244"/>
      <c r="W87" s="244"/>
      <c r="X87" s="200">
        <v>100</v>
      </c>
      <c r="Y87" s="200"/>
      <c r="Z87" s="200"/>
      <c r="AA87" s="200"/>
      <c r="AB87" s="200"/>
      <c r="AC87" s="200"/>
      <c r="AD87" s="200"/>
      <c r="AE87" s="200"/>
      <c r="AF87" s="206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291"/>
      <c r="AR87" s="256"/>
      <c r="AS87" s="291"/>
      <c r="AT87" s="198"/>
      <c r="AU87" s="291"/>
      <c r="AV87" s="198"/>
      <c r="AW87" s="257"/>
      <c r="AX87" s="259"/>
      <c r="AY87" s="187"/>
      <c r="BC87" s="198"/>
      <c r="BE87">
        <f t="shared" ref="BE87:BE88" si="39">+I87</f>
        <v>1000</v>
      </c>
    </row>
    <row r="88" spans="1:61" ht="15.75" x14ac:dyDescent="0.25">
      <c r="B88" s="186" t="s">
        <v>189</v>
      </c>
      <c r="C88" s="187"/>
      <c r="D88" s="187"/>
      <c r="E88" s="187"/>
      <c r="F88" s="187"/>
      <c r="G88" s="188" t="s">
        <v>386</v>
      </c>
      <c r="H88" s="189" t="s">
        <v>187</v>
      </c>
      <c r="I88" s="201">
        <v>550</v>
      </c>
      <c r="J88" s="190">
        <f>+I88*K88</f>
        <v>49500</v>
      </c>
      <c r="K88" s="276">
        <v>90</v>
      </c>
      <c r="L88" s="198"/>
      <c r="M88" s="198"/>
      <c r="N88" s="198"/>
      <c r="O88" s="198"/>
      <c r="P88" s="198"/>
      <c r="Q88" s="191">
        <v>25</v>
      </c>
      <c r="R88" s="190">
        <f>+I88*0.25</f>
        <v>137.5</v>
      </c>
      <c r="S88" s="244">
        <v>7.5</v>
      </c>
      <c r="T88" s="244"/>
      <c r="U88" s="244"/>
      <c r="V88" s="244"/>
      <c r="W88" s="244"/>
      <c r="X88" s="200"/>
      <c r="Y88" s="200"/>
      <c r="Z88" s="200"/>
      <c r="AA88" s="200"/>
      <c r="AB88" s="200"/>
      <c r="AC88" s="200"/>
      <c r="AD88" s="200"/>
      <c r="AE88" s="200"/>
      <c r="AF88" s="292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81"/>
      <c r="AR88" s="293"/>
      <c r="AS88" s="281"/>
      <c r="AT88" s="279"/>
      <c r="AU88" s="281"/>
      <c r="AV88" s="279"/>
      <c r="AW88" s="293"/>
      <c r="AX88" s="259"/>
      <c r="AY88" s="187"/>
      <c r="BC88" s="198"/>
      <c r="BE88">
        <f t="shared" si="39"/>
        <v>550</v>
      </c>
    </row>
    <row r="89" spans="1:61" ht="16.5" thickBot="1" x14ac:dyDescent="0.3">
      <c r="B89" s="186"/>
      <c r="C89" s="187"/>
      <c r="D89" s="187"/>
      <c r="E89" s="187"/>
      <c r="F89" s="187"/>
      <c r="G89" s="188"/>
      <c r="H89" s="189"/>
      <c r="I89" s="258">
        <f>SUM(I75:I88)</f>
        <v>8622</v>
      </c>
      <c r="J89" s="190">
        <f>SUM(J75:J88)</f>
        <v>811460</v>
      </c>
      <c r="K89" s="295">
        <f>+J89/I89</f>
        <v>94.11505451171422</v>
      </c>
      <c r="L89" s="194"/>
      <c r="M89" s="194"/>
      <c r="N89" s="194"/>
      <c r="O89" s="194"/>
      <c r="P89" s="194"/>
      <c r="Q89" s="190"/>
      <c r="R89" s="190">
        <f>SUM(R75:R88)</f>
        <v>2328.5</v>
      </c>
      <c r="S89" s="244"/>
      <c r="T89" s="244"/>
      <c r="U89" s="244"/>
      <c r="V89" s="244"/>
      <c r="W89" s="244"/>
      <c r="X89" s="200"/>
      <c r="Y89" s="200"/>
      <c r="Z89" s="200"/>
      <c r="AA89" s="200"/>
      <c r="AB89" s="200"/>
      <c r="AC89" s="200"/>
      <c r="AD89" s="200"/>
      <c r="AE89" s="200"/>
      <c r="AF89" s="292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81"/>
      <c r="AR89" s="293"/>
      <c r="AS89" s="281"/>
      <c r="AT89" s="279"/>
      <c r="AU89" s="281"/>
      <c r="AV89" s="279"/>
      <c r="AW89" s="293"/>
      <c r="AX89" s="259"/>
      <c r="AY89" s="187"/>
      <c r="BC89" s="198"/>
    </row>
    <row r="90" spans="1:61" ht="18.75" x14ac:dyDescent="0.3">
      <c r="B90" s="185" t="s">
        <v>259</v>
      </c>
      <c r="C90" s="187"/>
      <c r="D90" s="187"/>
      <c r="E90" s="187"/>
      <c r="F90" s="187"/>
      <c r="G90" s="188"/>
      <c r="H90" s="189"/>
      <c r="I90" s="201"/>
      <c r="J90" s="201"/>
      <c r="K90" s="276"/>
      <c r="L90" s="198"/>
      <c r="M90" s="198"/>
      <c r="N90" s="198"/>
      <c r="O90" s="198"/>
      <c r="P90" s="198"/>
      <c r="Q90" s="191"/>
      <c r="R90" s="201"/>
      <c r="S90" s="244"/>
      <c r="T90" s="244"/>
      <c r="U90" s="244"/>
      <c r="V90" s="244"/>
      <c r="W90" s="244"/>
      <c r="X90" s="200"/>
      <c r="Y90" s="200"/>
      <c r="Z90" s="200"/>
      <c r="AA90" s="200"/>
      <c r="AB90" s="200"/>
      <c r="AC90" s="200"/>
      <c r="AD90" s="200"/>
      <c r="AE90" s="200"/>
      <c r="AF90" s="292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81"/>
      <c r="AR90" s="293"/>
      <c r="AS90" s="281"/>
      <c r="AT90" s="279"/>
      <c r="AU90" s="281"/>
      <c r="AV90" s="279"/>
      <c r="AW90" s="293"/>
      <c r="AX90" s="259"/>
      <c r="AY90" s="187"/>
      <c r="BC90" s="198"/>
    </row>
    <row r="91" spans="1:61" ht="15.75" x14ac:dyDescent="0.25">
      <c r="A91">
        <v>69</v>
      </c>
      <c r="B91" s="186" t="s">
        <v>144</v>
      </c>
      <c r="C91" s="187"/>
      <c r="D91" s="187"/>
      <c r="E91" s="187"/>
      <c r="F91" s="187"/>
      <c r="G91" s="188" t="s">
        <v>391</v>
      </c>
      <c r="H91" s="296" t="s">
        <v>142</v>
      </c>
      <c r="I91" s="201">
        <v>900</v>
      </c>
      <c r="J91" s="190">
        <f t="shared" si="36"/>
        <v>90000</v>
      </c>
      <c r="K91" s="276">
        <v>100</v>
      </c>
      <c r="L91" s="198"/>
      <c r="M91" s="198"/>
      <c r="N91" s="198"/>
      <c r="O91" s="198"/>
      <c r="P91" s="198"/>
      <c r="Q91" s="191">
        <v>25</v>
      </c>
      <c r="R91" s="190">
        <f t="shared" ref="R91:R102" si="40">+I91*0.25</f>
        <v>225</v>
      </c>
      <c r="S91" s="244"/>
      <c r="T91" s="244"/>
      <c r="U91" s="244"/>
      <c r="V91" s="286"/>
      <c r="W91" s="286">
        <v>9</v>
      </c>
      <c r="X91" s="200"/>
      <c r="Y91" s="200"/>
      <c r="Z91" s="200"/>
      <c r="AA91" s="200"/>
      <c r="AB91" s="200"/>
      <c r="AC91" s="200"/>
      <c r="AD91" s="200"/>
      <c r="AE91" s="200"/>
      <c r="AF91" s="206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291"/>
      <c r="AR91" s="256"/>
      <c r="AS91" s="291"/>
      <c r="AT91" s="198"/>
      <c r="AU91" s="291"/>
      <c r="AV91" s="198"/>
      <c r="AW91" s="257"/>
      <c r="AX91" s="259"/>
      <c r="AY91" s="187"/>
      <c r="BC91" s="198"/>
      <c r="BI91">
        <f>+I91</f>
        <v>900</v>
      </c>
    </row>
    <row r="92" spans="1:61" ht="15.75" x14ac:dyDescent="0.25">
      <c r="B92" s="186" t="s">
        <v>392</v>
      </c>
      <c r="C92" s="187"/>
      <c r="D92" s="187"/>
      <c r="E92" s="187">
        <v>1</v>
      </c>
      <c r="F92" s="187"/>
      <c r="G92" s="188" t="s">
        <v>386</v>
      </c>
      <c r="H92" s="189" t="s">
        <v>84</v>
      </c>
      <c r="I92" s="201">
        <v>550</v>
      </c>
      <c r="J92" s="190">
        <f>+I92*K92</f>
        <v>49500</v>
      </c>
      <c r="K92" s="276">
        <v>90</v>
      </c>
      <c r="L92" s="201"/>
      <c r="M92" s="201"/>
      <c r="N92" s="201"/>
      <c r="O92" s="201"/>
      <c r="P92" s="201"/>
      <c r="Q92" s="191">
        <v>25</v>
      </c>
      <c r="R92" s="190">
        <f t="shared" ref="R92" si="41">SUM(X92:AE92)</f>
        <v>137.5</v>
      </c>
      <c r="S92" s="244">
        <v>23.5</v>
      </c>
      <c r="T92" s="244"/>
      <c r="U92" s="244"/>
      <c r="V92" s="244"/>
      <c r="W92" s="244"/>
      <c r="X92" s="201">
        <f>+I92*0.2</f>
        <v>110</v>
      </c>
      <c r="Y92" s="201"/>
      <c r="Z92" s="201"/>
      <c r="AA92" s="201"/>
      <c r="AB92" s="201"/>
      <c r="AC92" s="201">
        <f>+I92*0.05</f>
        <v>27.5</v>
      </c>
      <c r="AD92" s="201"/>
      <c r="AE92" s="201"/>
      <c r="AF92" s="206"/>
      <c r="AG92" s="198"/>
      <c r="AH92" s="198"/>
      <c r="AI92" s="198"/>
      <c r="AJ92" s="198"/>
      <c r="AK92" s="198"/>
      <c r="AL92" s="198"/>
      <c r="AM92" s="254"/>
      <c r="AN92" s="198"/>
      <c r="AO92" s="255"/>
      <c r="AP92" s="198"/>
      <c r="AQ92" s="198"/>
      <c r="AR92" s="256"/>
      <c r="AS92" s="198"/>
      <c r="AT92" s="198"/>
      <c r="AU92" s="198"/>
      <c r="AV92" s="198"/>
      <c r="AW92" s="257"/>
      <c r="AX92" s="206"/>
      <c r="AY92" s="187"/>
      <c r="BC92" s="198"/>
      <c r="BE92">
        <f>+I92</f>
        <v>550</v>
      </c>
    </row>
    <row r="93" spans="1:61" ht="15.75" x14ac:dyDescent="0.25">
      <c r="A93">
        <f>+A91+1</f>
        <v>70</v>
      </c>
      <c r="B93" s="186" t="s">
        <v>393</v>
      </c>
      <c r="C93" s="294"/>
      <c r="D93" s="294"/>
      <c r="E93" s="294"/>
      <c r="F93" s="294"/>
      <c r="G93" s="188" t="s">
        <v>391</v>
      </c>
      <c r="H93" s="189" t="s">
        <v>8</v>
      </c>
      <c r="I93" s="201">
        <v>110</v>
      </c>
      <c r="J93" s="190">
        <f t="shared" si="36"/>
        <v>3300</v>
      </c>
      <c r="K93" s="289">
        <v>30</v>
      </c>
      <c r="L93" s="198"/>
      <c r="M93" s="198"/>
      <c r="N93" s="198"/>
      <c r="O93" s="198"/>
      <c r="P93" s="198"/>
      <c r="Q93" s="191">
        <v>100</v>
      </c>
      <c r="R93" s="213">
        <f>SUM(X93:BC93)</f>
        <v>110</v>
      </c>
      <c r="S93" s="245"/>
      <c r="T93" s="245">
        <v>1</v>
      </c>
      <c r="U93" s="245"/>
      <c r="V93" s="245"/>
      <c r="W93" s="245"/>
      <c r="X93" s="200"/>
      <c r="Y93" s="200"/>
      <c r="Z93" s="200">
        <v>110</v>
      </c>
      <c r="AA93" s="200"/>
      <c r="AB93" s="200"/>
      <c r="AC93" s="200"/>
      <c r="AD93" s="200"/>
      <c r="AE93" s="200"/>
      <c r="AF93" s="206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291"/>
      <c r="AR93" s="256"/>
      <c r="AS93" s="291"/>
      <c r="AT93" s="198"/>
      <c r="AU93" s="291"/>
      <c r="AV93" s="198"/>
      <c r="AW93" s="257"/>
      <c r="AX93" s="259"/>
      <c r="AY93" s="187"/>
      <c r="BC93" s="198"/>
      <c r="BF93">
        <f>+I93</f>
        <v>110</v>
      </c>
    </row>
    <row r="94" spans="1:61" ht="15.75" hidden="1" x14ac:dyDescent="0.25">
      <c r="A94" t="e">
        <f>+#REF!+1</f>
        <v>#REF!</v>
      </c>
      <c r="B94" s="186" t="s">
        <v>394</v>
      </c>
      <c r="C94" s="294"/>
      <c r="D94" s="294"/>
      <c r="E94" s="294"/>
      <c r="F94" s="294"/>
      <c r="G94" s="188" t="s">
        <v>391</v>
      </c>
      <c r="H94" s="189"/>
      <c r="I94" s="201"/>
      <c r="J94" s="198"/>
      <c r="K94" s="198"/>
      <c r="L94" s="198"/>
      <c r="M94" s="198"/>
      <c r="N94" s="198"/>
      <c r="O94" s="198"/>
      <c r="P94" s="198"/>
      <c r="Q94" s="191"/>
      <c r="R94" s="190">
        <f t="shared" si="40"/>
        <v>0</v>
      </c>
      <c r="S94" s="244"/>
      <c r="T94" s="244"/>
      <c r="U94" s="244"/>
      <c r="V94" s="244"/>
      <c r="W94" s="244"/>
      <c r="X94" s="200"/>
      <c r="Y94" s="200"/>
      <c r="Z94" s="200"/>
      <c r="AA94" s="200"/>
      <c r="AB94" s="200"/>
      <c r="AC94" s="200"/>
      <c r="AD94" s="200"/>
      <c r="AE94" s="200"/>
      <c r="AF94" s="206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291"/>
      <c r="AR94" s="256"/>
      <c r="AS94" s="291"/>
      <c r="AT94" s="198"/>
      <c r="AU94" s="291"/>
      <c r="AV94" s="198"/>
      <c r="AW94" s="257"/>
      <c r="AX94" s="259"/>
      <c r="AY94" s="187"/>
      <c r="BC94" s="198"/>
    </row>
    <row r="95" spans="1:61" ht="15.75" x14ac:dyDescent="0.25">
      <c r="A95">
        <v>71</v>
      </c>
      <c r="B95" s="186" t="s">
        <v>13</v>
      </c>
      <c r="C95" s="187"/>
      <c r="D95" s="187"/>
      <c r="E95" s="187">
        <v>1</v>
      </c>
      <c r="F95" s="187"/>
      <c r="G95" s="188" t="s">
        <v>391</v>
      </c>
      <c r="H95" s="189" t="s">
        <v>8</v>
      </c>
      <c r="I95" s="201">
        <v>75</v>
      </c>
      <c r="J95" s="190">
        <f t="shared" ref="J95:J107" si="42">+I95*K95</f>
        <v>6750</v>
      </c>
      <c r="K95" s="276">
        <v>90</v>
      </c>
      <c r="L95" s="198"/>
      <c r="M95" s="198"/>
      <c r="N95" s="198"/>
      <c r="O95" s="198"/>
      <c r="P95" s="198"/>
      <c r="Q95" s="191">
        <v>25</v>
      </c>
      <c r="R95" s="190">
        <f t="shared" si="40"/>
        <v>18.75</v>
      </c>
      <c r="S95" s="244">
        <v>0.3</v>
      </c>
      <c r="T95" s="244"/>
      <c r="U95" s="244"/>
      <c r="V95" s="244"/>
      <c r="W95" s="244"/>
      <c r="X95" s="200"/>
      <c r="Y95" s="200"/>
      <c r="Z95" s="200"/>
      <c r="AA95" s="200"/>
      <c r="AB95" s="200"/>
      <c r="AC95" s="200"/>
      <c r="AD95" s="200"/>
      <c r="AE95" s="200"/>
      <c r="AF95" s="206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291"/>
      <c r="AR95" s="256"/>
      <c r="AS95" s="291"/>
      <c r="AT95" s="198"/>
      <c r="AU95" s="291"/>
      <c r="AV95" s="198"/>
      <c r="AW95" s="257"/>
      <c r="AX95" s="259"/>
      <c r="AY95" s="187"/>
      <c r="BC95" s="198"/>
      <c r="BE95">
        <f>+I95</f>
        <v>75</v>
      </c>
    </row>
    <row r="96" spans="1:61" ht="16.5" thickBot="1" x14ac:dyDescent="0.3">
      <c r="A96">
        <f>+A95+1</f>
        <v>72</v>
      </c>
      <c r="B96" s="186" t="s">
        <v>395</v>
      </c>
      <c r="C96" s="187"/>
      <c r="D96" s="187"/>
      <c r="E96" s="187"/>
      <c r="F96" s="187"/>
      <c r="G96" s="188" t="s">
        <v>391</v>
      </c>
      <c r="H96" s="189" t="s">
        <v>84</v>
      </c>
      <c r="I96" s="201">
        <v>225</v>
      </c>
      <c r="J96" s="190">
        <f t="shared" si="42"/>
        <v>20250</v>
      </c>
      <c r="K96" s="276">
        <v>90</v>
      </c>
      <c r="L96" s="198"/>
      <c r="M96" s="198"/>
      <c r="N96" s="198"/>
      <c r="O96" s="198"/>
      <c r="P96" s="198"/>
      <c r="Q96" s="191">
        <v>25</v>
      </c>
      <c r="R96" s="190">
        <f t="shared" si="40"/>
        <v>56.25</v>
      </c>
      <c r="S96" s="244">
        <v>2.2999999999999998</v>
      </c>
      <c r="T96" s="244"/>
      <c r="U96" s="244"/>
      <c r="V96" s="244"/>
      <c r="W96" s="244"/>
      <c r="X96" s="200"/>
      <c r="Y96" s="200"/>
      <c r="Z96" s="200"/>
      <c r="AA96" s="200"/>
      <c r="AB96" s="200"/>
      <c r="AC96" s="200"/>
      <c r="AD96" s="200"/>
      <c r="AE96" s="200"/>
      <c r="AF96" s="206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291"/>
      <c r="AR96" s="256"/>
      <c r="AS96" s="291"/>
      <c r="AT96" s="198"/>
      <c r="AU96" s="291"/>
      <c r="AV96" s="198"/>
      <c r="AW96" s="257"/>
      <c r="AX96" s="259"/>
      <c r="AY96" s="187"/>
      <c r="BC96" s="198"/>
      <c r="BE96">
        <f>+I96</f>
        <v>225</v>
      </c>
    </row>
    <row r="97" spans="1:59" ht="16.5" thickBot="1" x14ac:dyDescent="0.3">
      <c r="A97">
        <f t="shared" ref="A97:A99" si="43">+A96+1</f>
        <v>73</v>
      </c>
      <c r="B97" s="186" t="s">
        <v>128</v>
      </c>
      <c r="C97" s="187"/>
      <c r="D97" s="187"/>
      <c r="E97" s="187">
        <v>1</v>
      </c>
      <c r="F97" s="187"/>
      <c r="G97" s="188" t="s">
        <v>391</v>
      </c>
      <c r="H97" s="189" t="s">
        <v>116</v>
      </c>
      <c r="I97" s="201">
        <v>225</v>
      </c>
      <c r="J97" s="190">
        <f t="shared" si="42"/>
        <v>20250</v>
      </c>
      <c r="K97" s="276">
        <v>90</v>
      </c>
      <c r="L97" s="198"/>
      <c r="M97" s="198"/>
      <c r="N97" s="198"/>
      <c r="O97" s="198"/>
      <c r="P97" s="198"/>
      <c r="Q97" s="191">
        <v>25</v>
      </c>
      <c r="R97" s="190">
        <f t="shared" si="40"/>
        <v>56.25</v>
      </c>
      <c r="S97" s="244">
        <v>1.5</v>
      </c>
      <c r="T97" s="244"/>
      <c r="U97" s="244">
        <v>2</v>
      </c>
      <c r="V97" s="244"/>
      <c r="W97" s="244"/>
      <c r="X97" s="200"/>
      <c r="Y97" s="200"/>
      <c r="Z97" s="200"/>
      <c r="AA97" s="200"/>
      <c r="AB97" s="200"/>
      <c r="AC97" s="200"/>
      <c r="AD97" s="200"/>
      <c r="AE97" s="200"/>
      <c r="AF97" s="206"/>
      <c r="AG97" s="198"/>
      <c r="AH97" s="198"/>
      <c r="AI97" s="198"/>
      <c r="AJ97" s="198"/>
      <c r="AK97" s="198"/>
      <c r="AL97" s="198"/>
      <c r="AM97" s="198"/>
      <c r="AN97" s="198"/>
      <c r="AO97" s="297"/>
      <c r="AP97" s="198"/>
      <c r="AQ97" s="198"/>
      <c r="AR97" s="198"/>
      <c r="AS97" s="280"/>
      <c r="AT97" s="292">
        <v>100</v>
      </c>
      <c r="AU97" s="298">
        <v>50</v>
      </c>
      <c r="AV97" s="279">
        <v>80</v>
      </c>
      <c r="AW97" s="298">
        <v>25</v>
      </c>
      <c r="AX97" s="206"/>
      <c r="AY97" s="187"/>
      <c r="BC97" s="198"/>
      <c r="BE97">
        <v>97</v>
      </c>
      <c r="BG97">
        <f>+I97-BE97</f>
        <v>128</v>
      </c>
    </row>
    <row r="98" spans="1:59" ht="15.75" x14ac:dyDescent="0.25">
      <c r="A98">
        <f t="shared" si="43"/>
        <v>74</v>
      </c>
      <c r="B98" s="186" t="s">
        <v>190</v>
      </c>
      <c r="C98" s="187"/>
      <c r="D98" s="187"/>
      <c r="E98" s="187"/>
      <c r="F98" s="187"/>
      <c r="G98" s="188" t="s">
        <v>391</v>
      </c>
      <c r="H98" s="189" t="s">
        <v>187</v>
      </c>
      <c r="I98" s="201">
        <v>1500</v>
      </c>
      <c r="J98" s="190">
        <f t="shared" si="42"/>
        <v>135000</v>
      </c>
      <c r="K98" s="276">
        <v>90</v>
      </c>
      <c r="L98" s="198"/>
      <c r="M98" s="198"/>
      <c r="N98" s="198"/>
      <c r="O98" s="198"/>
      <c r="P98" s="198"/>
      <c r="Q98" s="191">
        <v>25</v>
      </c>
      <c r="R98" s="190">
        <f t="shared" si="40"/>
        <v>375</v>
      </c>
      <c r="S98" s="244"/>
      <c r="T98" s="244"/>
      <c r="U98" s="244">
        <v>25</v>
      </c>
      <c r="V98" s="244"/>
      <c r="W98" s="244"/>
      <c r="X98" s="200"/>
      <c r="Y98" s="200"/>
      <c r="Z98" s="200"/>
      <c r="AA98" s="200"/>
      <c r="AB98" s="200"/>
      <c r="AC98" s="200"/>
      <c r="AD98" s="200"/>
      <c r="AE98" s="200"/>
      <c r="AF98" s="292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93"/>
      <c r="AS98" s="279"/>
      <c r="AT98" s="279"/>
      <c r="AU98" s="279"/>
      <c r="AV98" s="279"/>
      <c r="AW98" s="293"/>
      <c r="AX98" s="206"/>
      <c r="AY98" s="187"/>
      <c r="BC98" s="198"/>
      <c r="BG98">
        <f>+I98</f>
        <v>1500</v>
      </c>
    </row>
    <row r="99" spans="1:59" ht="15.75" x14ac:dyDescent="0.25">
      <c r="A99">
        <f t="shared" si="43"/>
        <v>75</v>
      </c>
      <c r="B99" s="186" t="s">
        <v>396</v>
      </c>
      <c r="C99" s="294"/>
      <c r="D99" s="294"/>
      <c r="E99" s="294"/>
      <c r="F99" s="294"/>
      <c r="G99" s="188" t="s">
        <v>391</v>
      </c>
      <c r="H99" s="189" t="s">
        <v>84</v>
      </c>
      <c r="I99" s="201">
        <v>600</v>
      </c>
      <c r="J99" s="190">
        <f t="shared" si="42"/>
        <v>54000</v>
      </c>
      <c r="K99" s="276">
        <v>90</v>
      </c>
      <c r="L99" s="198"/>
      <c r="M99" s="198"/>
      <c r="N99" s="198"/>
      <c r="O99" s="198"/>
      <c r="P99" s="198"/>
      <c r="Q99" s="191">
        <v>25</v>
      </c>
      <c r="R99" s="190">
        <f t="shared" si="40"/>
        <v>150</v>
      </c>
      <c r="S99" s="244">
        <v>6</v>
      </c>
      <c r="T99" s="244"/>
      <c r="U99" s="244"/>
      <c r="V99" s="244"/>
      <c r="W99" s="244"/>
      <c r="X99" s="200">
        <v>160</v>
      </c>
      <c r="Y99" s="200"/>
      <c r="Z99" s="200"/>
      <c r="AA99" s="200"/>
      <c r="AB99" s="200"/>
      <c r="AC99" s="200"/>
      <c r="AD99" s="200"/>
      <c r="AE99" s="200"/>
      <c r="AF99" s="292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93"/>
      <c r="AS99" s="279"/>
      <c r="AT99" s="279"/>
      <c r="AU99" s="279"/>
      <c r="AV99" s="279"/>
      <c r="AW99" s="293"/>
      <c r="AX99" s="206"/>
      <c r="AY99" s="187"/>
      <c r="BC99" s="198"/>
      <c r="BE99">
        <f>+I99</f>
        <v>600</v>
      </c>
    </row>
    <row r="100" spans="1:59" ht="15.75" x14ac:dyDescent="0.25">
      <c r="A100" t="e">
        <f>+#REF!+1</f>
        <v>#REF!</v>
      </c>
      <c r="B100" s="186" t="s">
        <v>93</v>
      </c>
      <c r="C100" s="187"/>
      <c r="D100" s="187"/>
      <c r="E100" s="187"/>
      <c r="F100" s="187"/>
      <c r="G100" s="188" t="s">
        <v>391</v>
      </c>
      <c r="H100" s="189" t="s">
        <v>84</v>
      </c>
      <c r="I100" s="201">
        <v>400</v>
      </c>
      <c r="J100" s="190">
        <f t="shared" si="42"/>
        <v>24000</v>
      </c>
      <c r="K100" s="201">
        <v>60</v>
      </c>
      <c r="L100" s="198"/>
      <c r="M100" s="198"/>
      <c r="N100" s="198"/>
      <c r="O100" s="198"/>
      <c r="P100" s="198"/>
      <c r="Q100" s="285">
        <f>+(R100/I100)*100</f>
        <v>62.5</v>
      </c>
      <c r="R100" s="190">
        <v>250</v>
      </c>
      <c r="S100" s="244">
        <v>5.5</v>
      </c>
      <c r="T100" s="244"/>
      <c r="U100" s="244"/>
      <c r="V100" s="244"/>
      <c r="W100" s="244"/>
      <c r="X100" s="200"/>
      <c r="Y100" s="200"/>
      <c r="Z100" s="200"/>
      <c r="AA100" s="200"/>
      <c r="AB100" s="200"/>
      <c r="AC100" s="200"/>
      <c r="AD100" s="200"/>
      <c r="AE100" s="200"/>
      <c r="AF100" s="292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93"/>
      <c r="AS100" s="279"/>
      <c r="AT100" s="279"/>
      <c r="AU100" s="279"/>
      <c r="AV100" s="279"/>
      <c r="AW100" s="293"/>
      <c r="AX100" s="206"/>
      <c r="AY100" s="187"/>
      <c r="BC100" s="198"/>
      <c r="BE100">
        <f>+I100</f>
        <v>400</v>
      </c>
    </row>
    <row r="101" spans="1:59" ht="15.75" x14ac:dyDescent="0.25">
      <c r="A101" t="e">
        <f>+A100+1</f>
        <v>#REF!</v>
      </c>
      <c r="B101" s="272" t="s">
        <v>397</v>
      </c>
      <c r="C101" s="273"/>
      <c r="D101" s="273"/>
      <c r="E101" s="273"/>
      <c r="F101" s="273"/>
      <c r="G101" s="299" t="s">
        <v>391</v>
      </c>
      <c r="H101" s="274" t="s">
        <v>116</v>
      </c>
      <c r="I101" s="246">
        <v>400</v>
      </c>
      <c r="J101" s="190">
        <f t="shared" si="42"/>
        <v>32000</v>
      </c>
      <c r="K101" s="276">
        <v>80</v>
      </c>
      <c r="L101" s="279"/>
      <c r="M101" s="279"/>
      <c r="N101" s="279"/>
      <c r="O101" s="279"/>
      <c r="P101" s="279"/>
      <c r="Q101" s="191">
        <v>25</v>
      </c>
      <c r="R101" s="275">
        <f t="shared" si="40"/>
        <v>100</v>
      </c>
      <c r="S101" s="286">
        <v>4</v>
      </c>
      <c r="T101" s="286"/>
      <c r="U101" s="286"/>
      <c r="V101" s="286"/>
      <c r="W101" s="286"/>
      <c r="X101" s="277"/>
      <c r="Y101" s="277"/>
      <c r="Z101" s="277"/>
      <c r="AA101" s="277"/>
      <c r="AB101" s="277"/>
      <c r="AC101" s="277"/>
      <c r="AD101" s="277"/>
      <c r="AE101" s="277"/>
      <c r="AF101" s="292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93"/>
      <c r="AS101" s="279"/>
      <c r="AT101" s="279"/>
      <c r="AU101" s="279"/>
      <c r="AV101" s="279"/>
      <c r="AW101" s="293"/>
      <c r="AX101" s="292"/>
      <c r="AY101" s="273"/>
      <c r="BC101" s="279"/>
      <c r="BE101">
        <f>+I101</f>
        <v>400</v>
      </c>
    </row>
    <row r="102" spans="1:59" ht="15.75" x14ac:dyDescent="0.25">
      <c r="A102" t="e">
        <f>+A101+1</f>
        <v>#REF!</v>
      </c>
      <c r="B102" s="272" t="s">
        <v>398</v>
      </c>
      <c r="C102" s="273"/>
      <c r="D102" s="273"/>
      <c r="E102" s="273"/>
      <c r="F102" s="273"/>
      <c r="G102" s="299" t="s">
        <v>391</v>
      </c>
      <c r="H102" s="189" t="s">
        <v>84</v>
      </c>
      <c r="I102" s="246">
        <v>400</v>
      </c>
      <c r="J102" s="190">
        <f t="shared" si="42"/>
        <v>36000</v>
      </c>
      <c r="K102" s="276">
        <v>90</v>
      </c>
      <c r="L102" s="279"/>
      <c r="M102" s="279"/>
      <c r="N102" s="279"/>
      <c r="O102" s="279"/>
      <c r="P102" s="279"/>
      <c r="Q102" s="285"/>
      <c r="R102" s="275">
        <f t="shared" si="40"/>
        <v>100</v>
      </c>
      <c r="S102" s="286">
        <v>2.5</v>
      </c>
      <c r="T102" s="286"/>
      <c r="U102" s="286"/>
      <c r="V102" s="286"/>
      <c r="W102" s="286"/>
      <c r="X102" s="277"/>
      <c r="Y102" s="277"/>
      <c r="Z102" s="277"/>
      <c r="AA102" s="277"/>
      <c r="AB102" s="277"/>
      <c r="AC102" s="277"/>
      <c r="AD102" s="277"/>
      <c r="AE102" s="277"/>
      <c r="AF102" s="292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93"/>
      <c r="AS102" s="279"/>
      <c r="AT102" s="279"/>
      <c r="AU102" s="279"/>
      <c r="AV102" s="279"/>
      <c r="AW102" s="293"/>
      <c r="AX102" s="292"/>
      <c r="AY102" s="273"/>
      <c r="BC102" s="279"/>
      <c r="BE102">
        <f t="shared" ref="BE102:BE107" si="44">+I102</f>
        <v>400</v>
      </c>
    </row>
    <row r="103" spans="1:59" ht="15.75" x14ac:dyDescent="0.25">
      <c r="A103" t="e">
        <f>+A102+1</f>
        <v>#REF!</v>
      </c>
      <c r="B103" s="272" t="s">
        <v>399</v>
      </c>
      <c r="C103" s="273"/>
      <c r="D103" s="273"/>
      <c r="E103" s="273"/>
      <c r="F103" s="273"/>
      <c r="G103" s="299" t="s">
        <v>391</v>
      </c>
      <c r="H103" s="274" t="s">
        <v>70</v>
      </c>
      <c r="I103" s="246">
        <v>1000</v>
      </c>
      <c r="J103" s="190">
        <f t="shared" si="42"/>
        <v>90000</v>
      </c>
      <c r="K103" s="276">
        <v>90</v>
      </c>
      <c r="L103" s="279"/>
      <c r="M103" s="279"/>
      <c r="N103" s="279"/>
      <c r="O103" s="279"/>
      <c r="P103" s="279"/>
      <c r="Q103" s="285"/>
      <c r="R103" s="275"/>
      <c r="S103" s="286">
        <v>7</v>
      </c>
      <c r="T103" s="286"/>
      <c r="U103" s="286"/>
      <c r="V103" s="286"/>
      <c r="W103" s="286"/>
      <c r="X103" s="277"/>
      <c r="Y103" s="277"/>
      <c r="Z103" s="277"/>
      <c r="AA103" s="277"/>
      <c r="AB103" s="277"/>
      <c r="AC103" s="277"/>
      <c r="AD103" s="277"/>
      <c r="AE103" s="277"/>
      <c r="AF103" s="292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93"/>
      <c r="AS103" s="279"/>
      <c r="AT103" s="279"/>
      <c r="AU103" s="279"/>
      <c r="AV103" s="279"/>
      <c r="AW103" s="293"/>
      <c r="AX103" s="292"/>
      <c r="AY103" s="273"/>
      <c r="BC103" s="279"/>
      <c r="BE103">
        <f t="shared" si="44"/>
        <v>1000</v>
      </c>
    </row>
    <row r="104" spans="1:59" ht="15.75" x14ac:dyDescent="0.25">
      <c r="A104" t="e">
        <f>+A103+1</f>
        <v>#REF!</v>
      </c>
      <c r="B104" s="272" t="s">
        <v>171</v>
      </c>
      <c r="C104" s="273"/>
      <c r="D104" s="273"/>
      <c r="E104" s="273"/>
      <c r="F104" s="273"/>
      <c r="G104" s="299" t="s">
        <v>391</v>
      </c>
      <c r="H104" s="274" t="s">
        <v>172</v>
      </c>
      <c r="I104" s="246">
        <v>850</v>
      </c>
      <c r="J104" s="190">
        <f t="shared" si="42"/>
        <v>76500</v>
      </c>
      <c r="K104" s="276">
        <v>90</v>
      </c>
      <c r="L104" s="279"/>
      <c r="M104" s="279"/>
      <c r="N104" s="279"/>
      <c r="O104" s="279"/>
      <c r="P104" s="279"/>
      <c r="Q104" s="285"/>
      <c r="R104" s="275"/>
      <c r="S104" s="286">
        <v>12.5</v>
      </c>
      <c r="T104" s="286"/>
      <c r="U104" s="286"/>
      <c r="V104" s="286"/>
      <c r="W104" s="286"/>
      <c r="X104" s="277"/>
      <c r="Y104" s="277"/>
      <c r="Z104" s="277"/>
      <c r="AA104" s="277"/>
      <c r="AB104" s="277"/>
      <c r="AC104" s="277"/>
      <c r="AD104" s="277"/>
      <c r="AE104" s="277"/>
      <c r="AF104" s="292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93"/>
      <c r="AS104" s="279"/>
      <c r="AT104" s="279"/>
      <c r="AU104" s="279"/>
      <c r="AV104" s="279"/>
      <c r="AW104" s="293"/>
      <c r="AX104" s="292"/>
      <c r="AY104" s="273"/>
      <c r="BC104" s="279"/>
      <c r="BE104">
        <f t="shared" si="44"/>
        <v>850</v>
      </c>
    </row>
    <row r="105" spans="1:59" ht="15.75" x14ac:dyDescent="0.25">
      <c r="B105" s="272" t="s">
        <v>134</v>
      </c>
      <c r="C105" s="273"/>
      <c r="D105" s="273"/>
      <c r="E105" s="273"/>
      <c r="F105" s="273"/>
      <c r="G105" s="299" t="s">
        <v>391</v>
      </c>
      <c r="H105" s="274" t="s">
        <v>116</v>
      </c>
      <c r="I105" s="246">
        <v>100</v>
      </c>
      <c r="J105" s="190">
        <f t="shared" si="42"/>
        <v>9000</v>
      </c>
      <c r="K105" s="276">
        <v>90</v>
      </c>
      <c r="L105" s="279"/>
      <c r="M105" s="279"/>
      <c r="N105" s="279"/>
      <c r="O105" s="279"/>
      <c r="P105" s="279"/>
      <c r="Q105" s="285"/>
      <c r="R105" s="275"/>
      <c r="S105" s="286">
        <v>0.5</v>
      </c>
      <c r="T105" s="286"/>
      <c r="U105" s="286"/>
      <c r="V105" s="286"/>
      <c r="W105" s="286"/>
      <c r="X105" s="277"/>
      <c r="Y105" s="277"/>
      <c r="Z105" s="277"/>
      <c r="AA105" s="277"/>
      <c r="AB105" s="277"/>
      <c r="AC105" s="277"/>
      <c r="AD105" s="277"/>
      <c r="AE105" s="277"/>
      <c r="AF105" s="292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93"/>
      <c r="AS105" s="279"/>
      <c r="AT105" s="279"/>
      <c r="AU105" s="279"/>
      <c r="AV105" s="279"/>
      <c r="AW105" s="293"/>
      <c r="AX105" s="292"/>
      <c r="AY105" s="273"/>
      <c r="BC105" s="279"/>
      <c r="BE105">
        <f t="shared" si="44"/>
        <v>100</v>
      </c>
    </row>
    <row r="106" spans="1:59" ht="15.75" x14ac:dyDescent="0.25">
      <c r="B106" s="272" t="s">
        <v>83</v>
      </c>
      <c r="C106" s="273"/>
      <c r="D106" s="273"/>
      <c r="E106" s="273"/>
      <c r="F106" s="273"/>
      <c r="G106" s="299" t="s">
        <v>391</v>
      </c>
      <c r="H106" s="274" t="s">
        <v>84</v>
      </c>
      <c r="I106" s="246">
        <v>100</v>
      </c>
      <c r="J106" s="190">
        <f t="shared" si="42"/>
        <v>9000</v>
      </c>
      <c r="K106" s="276">
        <v>90</v>
      </c>
      <c r="L106" s="279"/>
      <c r="M106" s="279"/>
      <c r="N106" s="279"/>
      <c r="O106" s="279"/>
      <c r="P106" s="279"/>
      <c r="Q106" s="285"/>
      <c r="R106" s="275"/>
      <c r="S106" s="286">
        <v>0.8</v>
      </c>
      <c r="T106" s="286"/>
      <c r="U106" s="286"/>
      <c r="V106" s="286"/>
      <c r="W106" s="286"/>
      <c r="X106" s="277"/>
      <c r="Y106" s="277"/>
      <c r="Z106" s="277"/>
      <c r="AA106" s="277"/>
      <c r="AB106" s="277"/>
      <c r="AC106" s="277"/>
      <c r="AD106" s="277"/>
      <c r="AE106" s="277"/>
      <c r="AF106" s="292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93"/>
      <c r="AS106" s="279"/>
      <c r="AT106" s="279"/>
      <c r="AU106" s="279"/>
      <c r="AV106" s="279"/>
      <c r="AW106" s="293"/>
      <c r="AX106" s="292"/>
      <c r="AY106" s="273"/>
      <c r="BC106" s="279"/>
      <c r="BE106">
        <f t="shared" si="44"/>
        <v>100</v>
      </c>
    </row>
    <row r="107" spans="1:59" ht="15.75" x14ac:dyDescent="0.25">
      <c r="A107">
        <v>83</v>
      </c>
      <c r="B107" s="272" t="s">
        <v>60</v>
      </c>
      <c r="C107" s="273"/>
      <c r="D107" s="273"/>
      <c r="E107" s="273"/>
      <c r="F107" s="273"/>
      <c r="G107" s="299" t="s">
        <v>391</v>
      </c>
      <c r="H107" s="274" t="s">
        <v>41</v>
      </c>
      <c r="I107" s="246">
        <v>100</v>
      </c>
      <c r="J107" s="190">
        <f t="shared" si="42"/>
        <v>9000</v>
      </c>
      <c r="K107" s="276">
        <v>90</v>
      </c>
      <c r="L107" s="279"/>
      <c r="M107" s="279"/>
      <c r="N107" s="279"/>
      <c r="O107" s="279"/>
      <c r="P107" s="279"/>
      <c r="Q107" s="285"/>
      <c r="R107" s="275"/>
      <c r="S107" s="286">
        <v>4</v>
      </c>
      <c r="T107" s="286"/>
      <c r="U107" s="286"/>
      <c r="V107" s="286"/>
      <c r="W107" s="286"/>
      <c r="X107" s="277"/>
      <c r="Y107" s="277"/>
      <c r="Z107" s="277"/>
      <c r="AA107" s="277"/>
      <c r="AB107" s="277"/>
      <c r="AC107" s="277"/>
      <c r="AD107" s="277"/>
      <c r="AE107" s="277"/>
      <c r="AF107" s="292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93"/>
      <c r="AS107" s="279"/>
      <c r="AT107" s="279"/>
      <c r="AU107" s="279"/>
      <c r="AV107" s="279"/>
      <c r="AW107" s="293"/>
      <c r="AX107" s="292"/>
      <c r="AY107" s="273"/>
      <c r="BC107" s="279"/>
      <c r="BE107">
        <f t="shared" si="44"/>
        <v>100</v>
      </c>
    </row>
    <row r="108" spans="1:59" ht="15.75" x14ac:dyDescent="0.25">
      <c r="B108" s="186"/>
      <c r="C108" s="187"/>
      <c r="D108" s="187"/>
      <c r="E108" s="187"/>
      <c r="F108" s="187"/>
      <c r="G108" s="188"/>
      <c r="H108" s="188"/>
      <c r="I108" s="258">
        <f>SUM(I91:I107)</f>
        <v>7535</v>
      </c>
      <c r="J108" s="190">
        <f>SUM(J91:J103)</f>
        <v>561050</v>
      </c>
      <c r="K108" s="191">
        <f>+J108/I108</f>
        <v>74.459190444591911</v>
      </c>
      <c r="L108" s="198"/>
      <c r="M108" s="198"/>
      <c r="N108" s="198"/>
      <c r="O108" s="198"/>
      <c r="P108" s="198"/>
      <c r="Q108" s="285">
        <f>+(R108/I108)*100</f>
        <v>20.952222959522228</v>
      </c>
      <c r="R108" s="190">
        <f>SUM(R91:R102)</f>
        <v>1578.75</v>
      </c>
      <c r="S108" s="244"/>
      <c r="T108" s="244"/>
      <c r="U108" s="244"/>
      <c r="V108" s="244"/>
      <c r="W108" s="244"/>
      <c r="X108" s="200"/>
      <c r="Y108" s="200"/>
      <c r="Z108" s="200"/>
      <c r="AA108" s="200"/>
      <c r="AB108" s="200"/>
      <c r="AC108" s="200"/>
      <c r="AD108" s="200"/>
      <c r="AE108" s="200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87"/>
      <c r="AZ108" s="198"/>
      <c r="BA108" s="198"/>
      <c r="BB108" s="198"/>
      <c r="BC108" s="198"/>
    </row>
    <row r="109" spans="1:59" ht="15.75" x14ac:dyDescent="0.25">
      <c r="B109" s="186"/>
      <c r="C109" s="187"/>
      <c r="D109" s="187"/>
      <c r="E109" s="187"/>
      <c r="F109" s="187"/>
      <c r="G109" s="188"/>
      <c r="H109" s="188"/>
      <c r="I109" s="190"/>
      <c r="J109" s="190"/>
      <c r="K109" s="191"/>
      <c r="L109" s="198"/>
      <c r="M109" s="198"/>
      <c r="N109" s="198"/>
      <c r="O109" s="198"/>
      <c r="P109" s="198"/>
      <c r="Q109" s="285"/>
      <c r="R109" s="190"/>
      <c r="S109" s="244"/>
      <c r="T109" s="244"/>
      <c r="U109" s="244"/>
      <c r="V109" s="244"/>
      <c r="W109" s="244"/>
      <c r="X109" s="200"/>
      <c r="Y109" s="200"/>
      <c r="Z109" s="200"/>
      <c r="AA109" s="200"/>
      <c r="AB109" s="200"/>
      <c r="AC109" s="200"/>
      <c r="AD109" s="200"/>
      <c r="AE109" s="200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87"/>
      <c r="AZ109" s="198"/>
      <c r="BA109" s="198"/>
      <c r="BB109" s="198"/>
      <c r="BC109" s="198"/>
    </row>
    <row r="110" spans="1:59" ht="15.75" x14ac:dyDescent="0.25">
      <c r="B110" s="272"/>
      <c r="C110" s="273"/>
      <c r="D110" s="273"/>
      <c r="E110" s="273"/>
      <c r="F110" s="273"/>
      <c r="G110" s="299"/>
      <c r="H110" s="299"/>
      <c r="I110" s="300">
        <f>+I47+I73+I89+I108</f>
        <v>24865</v>
      </c>
      <c r="J110" s="275">
        <f>+J47+J73+J89+J108</f>
        <v>2174114.54</v>
      </c>
      <c r="K110" s="285">
        <f>+J110/I110</f>
        <v>87.436739995978286</v>
      </c>
      <c r="L110" s="279"/>
      <c r="M110" s="279"/>
      <c r="N110" s="279"/>
      <c r="O110" s="279"/>
      <c r="P110" s="279"/>
      <c r="Q110" s="285">
        <f>+(R110/I110)*100</f>
        <v>28.524029760707819</v>
      </c>
      <c r="R110" s="275">
        <f>+R47+R73+R89+R108</f>
        <v>7092.5</v>
      </c>
      <c r="S110" s="286"/>
      <c r="T110" s="286"/>
      <c r="U110" s="286"/>
      <c r="V110" s="286"/>
      <c r="W110" s="286"/>
      <c r="X110" s="277"/>
      <c r="Y110" s="277"/>
      <c r="Z110" s="277"/>
      <c r="AA110" s="277"/>
      <c r="AB110" s="277"/>
      <c r="AC110" s="277"/>
      <c r="AD110" s="277"/>
      <c r="AE110" s="277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3"/>
      <c r="AZ110" s="279"/>
      <c r="BA110" s="279"/>
      <c r="BB110" s="279"/>
      <c r="BC110" s="279"/>
    </row>
    <row r="111" spans="1:59" ht="18.75" x14ac:dyDescent="0.3">
      <c r="B111" s="301" t="s">
        <v>400</v>
      </c>
      <c r="C111" s="187"/>
      <c r="D111" s="187"/>
      <c r="E111" s="187"/>
      <c r="F111" s="187"/>
      <c r="G111" s="198"/>
      <c r="H111" s="188"/>
      <c r="I111" s="190"/>
      <c r="J111" s="190"/>
      <c r="K111" s="191"/>
      <c r="L111" s="198"/>
      <c r="M111" s="198"/>
      <c r="N111" s="198"/>
      <c r="O111" s="198"/>
      <c r="P111" s="198"/>
      <c r="Q111" s="191"/>
      <c r="R111" s="190"/>
      <c r="S111" s="244"/>
      <c r="T111" s="244"/>
      <c r="U111" s="244"/>
      <c r="V111" s="244"/>
      <c r="W111" s="244"/>
      <c r="X111" s="200"/>
      <c r="Y111" s="200"/>
      <c r="Z111" s="200"/>
      <c r="AA111" s="200"/>
      <c r="AB111" s="200"/>
      <c r="AC111" s="200"/>
      <c r="AD111" s="200"/>
      <c r="AE111" s="200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87"/>
      <c r="AZ111" s="198"/>
      <c r="BA111" s="198"/>
      <c r="BB111" s="198"/>
      <c r="BC111" s="198"/>
    </row>
    <row r="112" spans="1:59" ht="15.75" x14ac:dyDescent="0.25">
      <c r="A112">
        <v>84</v>
      </c>
      <c r="B112" s="186" t="s">
        <v>28</v>
      </c>
      <c r="C112" s="187"/>
      <c r="D112" s="187"/>
      <c r="E112" s="187"/>
      <c r="F112" s="187"/>
      <c r="G112" s="188" t="s">
        <v>401</v>
      </c>
      <c r="H112" s="189" t="s">
        <v>24</v>
      </c>
      <c r="I112" s="190">
        <v>300</v>
      </c>
      <c r="J112" s="190">
        <f t="shared" ref="J112:J130" si="45">+I112*K112</f>
        <v>27000</v>
      </c>
      <c r="K112" s="302">
        <v>90</v>
      </c>
      <c r="L112" s="198"/>
      <c r="M112" s="198"/>
      <c r="N112" s="198"/>
      <c r="O112" s="198"/>
      <c r="P112" s="198"/>
      <c r="Q112" s="191"/>
      <c r="R112" s="190"/>
      <c r="S112" s="244">
        <v>5</v>
      </c>
      <c r="T112" s="244"/>
      <c r="U112" s="244"/>
      <c r="V112" s="244"/>
      <c r="W112" s="244"/>
      <c r="X112" s="200"/>
      <c r="Y112" s="200"/>
      <c r="Z112" s="200"/>
      <c r="AA112" s="200"/>
      <c r="AB112" s="200"/>
      <c r="AC112" s="200"/>
      <c r="AD112" s="200"/>
      <c r="AE112" s="200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87"/>
      <c r="AZ112" s="198"/>
      <c r="BA112" s="198"/>
      <c r="BB112" s="198"/>
      <c r="BC112" s="198"/>
      <c r="BE112" s="2">
        <f>+I112</f>
        <v>300</v>
      </c>
    </row>
    <row r="113" spans="1:60" ht="15.75" x14ac:dyDescent="0.25">
      <c r="A113">
        <f>+A112+1</f>
        <v>85</v>
      </c>
      <c r="B113" s="186" t="s">
        <v>27</v>
      </c>
      <c r="C113" s="187"/>
      <c r="D113" s="187"/>
      <c r="E113" s="187"/>
      <c r="F113" s="187"/>
      <c r="G113" s="188" t="s">
        <v>401</v>
      </c>
      <c r="H113" s="189" t="s">
        <v>24</v>
      </c>
      <c r="I113" s="190">
        <v>7500</v>
      </c>
      <c r="J113" s="190">
        <f t="shared" si="45"/>
        <v>675000</v>
      </c>
      <c r="K113" s="302">
        <v>90</v>
      </c>
      <c r="L113" s="198"/>
      <c r="M113" s="198"/>
      <c r="N113" s="198"/>
      <c r="O113" s="198"/>
      <c r="P113" s="198"/>
      <c r="Q113" s="191"/>
      <c r="R113" s="190"/>
      <c r="S113" s="244">
        <v>75</v>
      </c>
      <c r="T113" s="244"/>
      <c r="U113" s="244"/>
      <c r="V113" s="244"/>
      <c r="W113" s="244"/>
      <c r="X113" s="200"/>
      <c r="Y113" s="200"/>
      <c r="Z113" s="200"/>
      <c r="AA113" s="200"/>
      <c r="AB113" s="200"/>
      <c r="AC113" s="200"/>
      <c r="AD113" s="200"/>
      <c r="AE113" s="200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87"/>
      <c r="AZ113" s="198"/>
      <c r="BA113" s="198"/>
      <c r="BB113" s="198"/>
      <c r="BC113" s="198"/>
      <c r="BE113" s="2">
        <f t="shared" ref="BE113:BE116" si="46">+I113</f>
        <v>7500</v>
      </c>
    </row>
    <row r="114" spans="1:60" ht="15.75" x14ac:dyDescent="0.25">
      <c r="B114" s="186" t="s">
        <v>402</v>
      </c>
      <c r="C114" s="187"/>
      <c r="D114" s="187"/>
      <c r="E114" s="187"/>
      <c r="F114" s="187"/>
      <c r="G114" s="188" t="s">
        <v>401</v>
      </c>
      <c r="H114" s="189" t="s">
        <v>24</v>
      </c>
      <c r="I114" s="190">
        <v>400</v>
      </c>
      <c r="J114" s="190">
        <f t="shared" si="45"/>
        <v>36000</v>
      </c>
      <c r="K114" s="302">
        <v>90</v>
      </c>
      <c r="L114" s="198"/>
      <c r="M114" s="198"/>
      <c r="N114" s="198"/>
      <c r="O114" s="198"/>
      <c r="P114" s="198"/>
      <c r="Q114" s="191"/>
      <c r="R114" s="190"/>
      <c r="S114" s="244">
        <v>6</v>
      </c>
      <c r="T114" s="244"/>
      <c r="U114" s="244"/>
      <c r="V114" s="244"/>
      <c r="W114" s="244"/>
      <c r="X114" s="200"/>
      <c r="Y114" s="200"/>
      <c r="Z114" s="200"/>
      <c r="AA114" s="200"/>
      <c r="AB114" s="200"/>
      <c r="AC114" s="200"/>
      <c r="AD114" s="200"/>
      <c r="AE114" s="200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87"/>
      <c r="AZ114" s="198"/>
      <c r="BA114" s="198"/>
      <c r="BB114" s="198"/>
      <c r="BC114" s="198"/>
      <c r="BE114" s="2">
        <f t="shared" si="46"/>
        <v>400</v>
      </c>
    </row>
    <row r="115" spans="1:60" ht="15.75" x14ac:dyDescent="0.25">
      <c r="B115" s="186" t="s">
        <v>403</v>
      </c>
      <c r="C115" s="187"/>
      <c r="D115" s="187"/>
      <c r="E115" s="187"/>
      <c r="F115" s="187"/>
      <c r="G115" s="188" t="s">
        <v>401</v>
      </c>
      <c r="H115" s="189" t="s">
        <v>70</v>
      </c>
      <c r="I115" s="190">
        <v>200</v>
      </c>
      <c r="J115" s="190">
        <f t="shared" si="45"/>
        <v>18000</v>
      </c>
      <c r="K115" s="302">
        <v>90</v>
      </c>
      <c r="L115" s="198"/>
      <c r="M115" s="198"/>
      <c r="N115" s="198"/>
      <c r="O115" s="198"/>
      <c r="P115" s="198"/>
      <c r="Q115" s="191"/>
      <c r="R115" s="190"/>
      <c r="S115" s="244">
        <v>6</v>
      </c>
      <c r="T115" s="244"/>
      <c r="U115" s="244"/>
      <c r="V115" s="244"/>
      <c r="W115" s="244"/>
      <c r="X115" s="200"/>
      <c r="Y115" s="200"/>
      <c r="Z115" s="200"/>
      <c r="AA115" s="200"/>
      <c r="AB115" s="200"/>
      <c r="AC115" s="200"/>
      <c r="AD115" s="200"/>
      <c r="AE115" s="200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87"/>
      <c r="AZ115" s="198"/>
      <c r="BA115" s="198"/>
      <c r="BB115" s="198"/>
      <c r="BC115" s="198"/>
      <c r="BE115" s="2">
        <f t="shared" si="46"/>
        <v>200</v>
      </c>
    </row>
    <row r="116" spans="1:60" ht="15.75" x14ac:dyDescent="0.25">
      <c r="A116">
        <f>+A113+1</f>
        <v>86</v>
      </c>
      <c r="B116" s="186" t="s">
        <v>404</v>
      </c>
      <c r="C116" s="187"/>
      <c r="D116" s="187"/>
      <c r="E116" s="187"/>
      <c r="F116" s="187"/>
      <c r="G116" s="188" t="s">
        <v>401</v>
      </c>
      <c r="H116" s="189" t="s">
        <v>84</v>
      </c>
      <c r="I116" s="190">
        <v>100</v>
      </c>
      <c r="J116" s="190">
        <f t="shared" si="45"/>
        <v>9000</v>
      </c>
      <c r="K116" s="302">
        <v>90</v>
      </c>
      <c r="L116" s="198"/>
      <c r="M116" s="198"/>
      <c r="N116" s="198"/>
      <c r="O116" s="198"/>
      <c r="P116" s="198"/>
      <c r="Q116" s="191"/>
      <c r="R116" s="190"/>
      <c r="S116" s="244">
        <v>0</v>
      </c>
      <c r="T116" s="244"/>
      <c r="U116" s="244"/>
      <c r="V116" s="244"/>
      <c r="W116" s="244"/>
      <c r="X116" s="200"/>
      <c r="Y116" s="200"/>
      <c r="Z116" s="200"/>
      <c r="AA116" s="200"/>
      <c r="AB116" s="200"/>
      <c r="AC116" s="200"/>
      <c r="AD116" s="200"/>
      <c r="AE116" s="200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87"/>
      <c r="AZ116" s="198"/>
      <c r="BA116" s="198"/>
      <c r="BB116" s="198"/>
      <c r="BC116" s="198"/>
      <c r="BE116" s="2">
        <f t="shared" si="46"/>
        <v>100</v>
      </c>
    </row>
    <row r="117" spans="1:60" ht="15.75" x14ac:dyDescent="0.25">
      <c r="B117" s="186" t="s">
        <v>405</v>
      </c>
      <c r="C117" s="187"/>
      <c r="D117" s="187"/>
      <c r="E117" s="187"/>
      <c r="F117" s="187"/>
      <c r="G117" s="188" t="s">
        <v>401</v>
      </c>
      <c r="H117" s="189" t="s">
        <v>84</v>
      </c>
      <c r="I117" s="190">
        <v>150</v>
      </c>
      <c r="J117" s="190">
        <f t="shared" si="45"/>
        <v>13500</v>
      </c>
      <c r="K117" s="302">
        <v>90</v>
      </c>
      <c r="L117" s="198"/>
      <c r="M117" s="198"/>
      <c r="N117" s="198"/>
      <c r="O117" s="198"/>
      <c r="P117" s="198"/>
      <c r="Q117" s="191"/>
      <c r="R117" s="190"/>
      <c r="S117" s="244">
        <v>1.25</v>
      </c>
      <c r="T117" s="244"/>
      <c r="U117" s="244">
        <v>1.25</v>
      </c>
      <c r="V117" s="244"/>
      <c r="W117" s="244"/>
      <c r="X117" s="200"/>
      <c r="Y117" s="200"/>
      <c r="Z117" s="200"/>
      <c r="AA117" s="200"/>
      <c r="AB117" s="200"/>
      <c r="AC117" s="200"/>
      <c r="AD117" s="200"/>
      <c r="AE117" s="200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87"/>
      <c r="AZ117" s="198"/>
      <c r="BA117" s="198"/>
      <c r="BB117" s="198"/>
      <c r="BC117" s="198"/>
      <c r="BE117" s="2">
        <f>+I117*0.5</f>
        <v>75</v>
      </c>
      <c r="BG117">
        <f>+I117*0.5</f>
        <v>75</v>
      </c>
    </row>
    <row r="118" spans="1:60" ht="15.75" x14ac:dyDescent="0.25">
      <c r="A118">
        <f>+A116+1</f>
        <v>87</v>
      </c>
      <c r="B118" s="283" t="s">
        <v>197</v>
      </c>
      <c r="C118" s="187"/>
      <c r="D118" s="187"/>
      <c r="E118" s="187"/>
      <c r="F118" s="187"/>
      <c r="G118" s="188" t="s">
        <v>401</v>
      </c>
      <c r="H118" s="189" t="s">
        <v>187</v>
      </c>
      <c r="I118" s="190">
        <v>40</v>
      </c>
      <c r="J118" s="190">
        <f t="shared" si="45"/>
        <v>3600</v>
      </c>
      <c r="K118" s="302">
        <v>90</v>
      </c>
      <c r="L118" s="198"/>
      <c r="M118" s="198"/>
      <c r="N118" s="198"/>
      <c r="O118" s="198"/>
      <c r="P118" s="198"/>
      <c r="Q118" s="191"/>
      <c r="R118" s="190"/>
      <c r="S118" s="244"/>
      <c r="T118" s="244"/>
      <c r="U118" s="244">
        <v>1</v>
      </c>
      <c r="V118" s="244"/>
      <c r="W118" s="244"/>
      <c r="X118" s="200"/>
      <c r="Y118" s="200"/>
      <c r="Z118" s="200"/>
      <c r="AA118" s="200"/>
      <c r="AB118" s="200"/>
      <c r="AC118" s="200"/>
      <c r="AD118" s="200"/>
      <c r="AE118" s="200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87"/>
      <c r="AZ118" s="198"/>
      <c r="BA118" s="198"/>
      <c r="BB118" s="198"/>
      <c r="BC118" s="198"/>
      <c r="BG118" s="2">
        <f>+I118</f>
        <v>40</v>
      </c>
      <c r="BH118" s="2"/>
    </row>
    <row r="119" spans="1:60" ht="15.75" x14ac:dyDescent="0.25">
      <c r="A119">
        <f t="shared" ref="A119:A128" si="47">+A118+1</f>
        <v>88</v>
      </c>
      <c r="B119" s="283" t="s">
        <v>138</v>
      </c>
      <c r="C119" s="187"/>
      <c r="D119" s="187"/>
      <c r="E119" s="187"/>
      <c r="F119" s="187"/>
      <c r="G119" s="188" t="s">
        <v>401</v>
      </c>
      <c r="H119" s="189" t="s">
        <v>116</v>
      </c>
      <c r="I119" s="190">
        <v>40</v>
      </c>
      <c r="J119" s="190">
        <f t="shared" si="45"/>
        <v>3600</v>
      </c>
      <c r="K119" s="302">
        <v>90</v>
      </c>
      <c r="L119" s="198"/>
      <c r="M119" s="198"/>
      <c r="N119" s="198"/>
      <c r="O119" s="198"/>
      <c r="P119" s="198"/>
      <c r="Q119" s="191"/>
      <c r="R119" s="190"/>
      <c r="S119" s="244">
        <v>0.5</v>
      </c>
      <c r="T119" s="244"/>
      <c r="U119" s="244"/>
      <c r="V119" s="244"/>
      <c r="W119" s="244"/>
      <c r="X119" s="200"/>
      <c r="Y119" s="200"/>
      <c r="Z119" s="200"/>
      <c r="AA119" s="200"/>
      <c r="AB119" s="200"/>
      <c r="AC119" s="200"/>
      <c r="AD119" s="200"/>
      <c r="AE119" s="200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87"/>
      <c r="AZ119" s="198"/>
      <c r="BA119" s="198"/>
      <c r="BB119" s="198"/>
      <c r="BC119" s="198"/>
      <c r="BE119" s="2">
        <f>+I119</f>
        <v>40</v>
      </c>
    </row>
    <row r="120" spans="1:60" ht="15.75" x14ac:dyDescent="0.25">
      <c r="A120">
        <f t="shared" si="47"/>
        <v>89</v>
      </c>
      <c r="B120" s="283" t="s">
        <v>406</v>
      </c>
      <c r="C120" s="187"/>
      <c r="D120" s="187"/>
      <c r="E120" s="187"/>
      <c r="F120" s="187"/>
      <c r="G120" s="188" t="s">
        <v>401</v>
      </c>
      <c r="H120" s="189" t="s">
        <v>116</v>
      </c>
      <c r="I120" s="190">
        <v>300</v>
      </c>
      <c r="J120" s="190">
        <f t="shared" si="45"/>
        <v>27000</v>
      </c>
      <c r="K120" s="302">
        <v>90</v>
      </c>
      <c r="L120" s="198"/>
      <c r="M120" s="198"/>
      <c r="N120" s="198"/>
      <c r="O120" s="198"/>
      <c r="P120" s="198"/>
      <c r="Q120" s="191"/>
      <c r="R120" s="190"/>
      <c r="S120" s="244"/>
      <c r="T120" s="244"/>
      <c r="U120" s="244"/>
      <c r="V120" s="244">
        <v>1.5</v>
      </c>
      <c r="W120" s="244"/>
      <c r="X120" s="200"/>
      <c r="Y120" s="200"/>
      <c r="Z120" s="200"/>
      <c r="AA120" s="200"/>
      <c r="AB120" s="200"/>
      <c r="AC120" s="200"/>
      <c r="AD120" s="200"/>
      <c r="AE120" s="200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87"/>
      <c r="AZ120" s="198"/>
      <c r="BA120" s="198"/>
      <c r="BB120" s="198"/>
      <c r="BC120" s="198"/>
      <c r="BG120" s="2"/>
      <c r="BH120" s="2">
        <v>300</v>
      </c>
    </row>
    <row r="121" spans="1:60" ht="15.75" x14ac:dyDescent="0.25">
      <c r="A121">
        <f t="shared" si="47"/>
        <v>90</v>
      </c>
      <c r="B121" s="283" t="s">
        <v>194</v>
      </c>
      <c r="C121" s="187"/>
      <c r="D121" s="187"/>
      <c r="E121" s="187"/>
      <c r="F121" s="187"/>
      <c r="G121" s="188" t="s">
        <v>401</v>
      </c>
      <c r="H121" s="189" t="s">
        <v>187</v>
      </c>
      <c r="I121" s="190">
        <v>50</v>
      </c>
      <c r="J121" s="190">
        <f t="shared" si="45"/>
        <v>4500</v>
      </c>
      <c r="K121" s="302">
        <v>90</v>
      </c>
      <c r="L121" s="198"/>
      <c r="M121" s="198"/>
      <c r="N121" s="198"/>
      <c r="O121" s="198"/>
      <c r="P121" s="198"/>
      <c r="Q121" s="191"/>
      <c r="R121" s="190"/>
      <c r="S121" s="244"/>
      <c r="T121" s="244"/>
      <c r="U121" s="244">
        <v>1.5</v>
      </c>
      <c r="V121" s="244"/>
      <c r="W121" s="244"/>
      <c r="X121" s="200"/>
      <c r="Y121" s="200"/>
      <c r="Z121" s="200"/>
      <c r="AA121" s="200"/>
      <c r="AB121" s="200"/>
      <c r="AC121" s="200"/>
      <c r="AD121" s="200"/>
      <c r="AE121" s="200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87"/>
      <c r="AZ121" s="198"/>
      <c r="BA121" s="198"/>
      <c r="BB121" s="198"/>
      <c r="BC121" s="198"/>
      <c r="BG121" s="2">
        <f>+I121</f>
        <v>50</v>
      </c>
      <c r="BH121" s="2"/>
    </row>
    <row r="122" spans="1:60" ht="15.75" x14ac:dyDescent="0.25">
      <c r="A122">
        <f t="shared" si="47"/>
        <v>91</v>
      </c>
      <c r="B122" s="283" t="s">
        <v>407</v>
      </c>
      <c r="C122" s="187"/>
      <c r="D122" s="187"/>
      <c r="E122" s="187"/>
      <c r="F122" s="187"/>
      <c r="G122" s="188" t="s">
        <v>401</v>
      </c>
      <c r="H122" s="189" t="s">
        <v>172</v>
      </c>
      <c r="I122" s="190">
        <v>100</v>
      </c>
      <c r="J122" s="190">
        <f t="shared" si="45"/>
        <v>9000</v>
      </c>
      <c r="K122" s="302">
        <v>90</v>
      </c>
      <c r="L122" s="198"/>
      <c r="M122" s="198"/>
      <c r="N122" s="198"/>
      <c r="O122" s="198"/>
      <c r="P122" s="198"/>
      <c r="Q122" s="191"/>
      <c r="R122" s="190"/>
      <c r="T122" s="244"/>
      <c r="U122" s="244">
        <v>4.5</v>
      </c>
      <c r="V122" s="244"/>
      <c r="W122" s="244"/>
      <c r="X122" s="200"/>
      <c r="Y122" s="200"/>
      <c r="Z122" s="200"/>
      <c r="AA122" s="200"/>
      <c r="AB122" s="200"/>
      <c r="AC122" s="200"/>
      <c r="AD122" s="200"/>
      <c r="AE122" s="200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87"/>
      <c r="AZ122" s="198"/>
      <c r="BA122" s="198"/>
      <c r="BB122" s="198"/>
      <c r="BC122" s="198"/>
      <c r="BG122" s="2">
        <f>+I122</f>
        <v>100</v>
      </c>
      <c r="BH122" s="2"/>
    </row>
    <row r="123" spans="1:60" ht="15.75" x14ac:dyDescent="0.25">
      <c r="A123">
        <f t="shared" si="47"/>
        <v>92</v>
      </c>
      <c r="B123" s="186" t="s">
        <v>200</v>
      </c>
      <c r="C123" s="187"/>
      <c r="D123" s="187"/>
      <c r="E123" s="187"/>
      <c r="F123" s="187"/>
      <c r="G123" s="188" t="s">
        <v>401</v>
      </c>
      <c r="H123" s="189" t="s">
        <v>187</v>
      </c>
      <c r="I123" s="190">
        <v>100</v>
      </c>
      <c r="J123" s="190">
        <f t="shared" si="45"/>
        <v>9000</v>
      </c>
      <c r="K123" s="302">
        <v>90</v>
      </c>
      <c r="L123" s="198"/>
      <c r="M123" s="198"/>
      <c r="N123" s="198"/>
      <c r="O123" s="198"/>
      <c r="P123" s="198"/>
      <c r="Q123" s="191"/>
      <c r="R123" s="190"/>
      <c r="S123" s="244"/>
      <c r="T123" s="244"/>
      <c r="U123" s="244"/>
      <c r="V123" s="244">
        <v>2</v>
      </c>
      <c r="W123" s="244"/>
      <c r="X123" s="200"/>
      <c r="Y123" s="200"/>
      <c r="Z123" s="200"/>
      <c r="AA123" s="200"/>
      <c r="AB123" s="200"/>
      <c r="AC123" s="200"/>
      <c r="AD123" s="200"/>
      <c r="AE123" s="200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87"/>
      <c r="AZ123" s="198"/>
      <c r="BA123" s="198"/>
      <c r="BB123" s="198"/>
      <c r="BC123" s="198"/>
      <c r="BH123">
        <v>100</v>
      </c>
    </row>
    <row r="124" spans="1:60" ht="15.75" x14ac:dyDescent="0.25">
      <c r="A124">
        <f t="shared" si="47"/>
        <v>93</v>
      </c>
      <c r="B124" s="186" t="s">
        <v>202</v>
      </c>
      <c r="C124" s="187"/>
      <c r="D124" s="187"/>
      <c r="E124" s="187"/>
      <c r="F124" s="187"/>
      <c r="G124" s="188" t="s">
        <v>401</v>
      </c>
      <c r="H124" s="189" t="s">
        <v>187</v>
      </c>
      <c r="I124" s="190">
        <v>300</v>
      </c>
      <c r="J124" s="190">
        <f t="shared" si="45"/>
        <v>27000</v>
      </c>
      <c r="K124" s="302">
        <v>90</v>
      </c>
      <c r="L124" s="198"/>
      <c r="M124" s="198"/>
      <c r="N124" s="198"/>
      <c r="O124" s="198"/>
      <c r="P124" s="198"/>
      <c r="Q124" s="191"/>
      <c r="R124" s="190"/>
      <c r="S124" s="244"/>
      <c r="T124" s="244"/>
      <c r="U124" s="244"/>
      <c r="V124" s="244">
        <v>6</v>
      </c>
      <c r="W124" s="244"/>
      <c r="X124" s="200"/>
      <c r="Y124" s="200"/>
      <c r="Z124" s="200"/>
      <c r="AA124" s="200"/>
      <c r="AB124" s="200"/>
      <c r="AC124" s="200"/>
      <c r="AD124" s="200"/>
      <c r="AE124" s="200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87"/>
      <c r="AZ124" s="198"/>
      <c r="BA124" s="198"/>
      <c r="BB124" s="198"/>
      <c r="BC124" s="198"/>
      <c r="BH124">
        <v>300</v>
      </c>
    </row>
    <row r="125" spans="1:60" ht="15.75" x14ac:dyDescent="0.25">
      <c r="A125">
        <f t="shared" si="47"/>
        <v>94</v>
      </c>
      <c r="B125" s="186" t="s">
        <v>408</v>
      </c>
      <c r="C125" s="187"/>
      <c r="D125" s="187"/>
      <c r="E125" s="187"/>
      <c r="F125" s="187"/>
      <c r="G125" s="188" t="s">
        <v>401</v>
      </c>
      <c r="H125" s="189" t="s">
        <v>187</v>
      </c>
      <c r="I125" s="190">
        <v>100</v>
      </c>
      <c r="J125" s="190">
        <f t="shared" si="45"/>
        <v>9000</v>
      </c>
      <c r="K125" s="302">
        <v>90</v>
      </c>
      <c r="L125" s="198"/>
      <c r="M125" s="198"/>
      <c r="N125" s="198"/>
      <c r="O125" s="198"/>
      <c r="P125" s="198"/>
      <c r="Q125" s="191"/>
      <c r="R125" s="190"/>
      <c r="S125" s="244"/>
      <c r="T125" s="244"/>
      <c r="U125" s="244"/>
      <c r="V125" s="244">
        <v>3</v>
      </c>
      <c r="W125" s="244"/>
      <c r="X125" s="200"/>
      <c r="Y125" s="200"/>
      <c r="Z125" s="200"/>
      <c r="AA125" s="200"/>
      <c r="AB125" s="200"/>
      <c r="AC125" s="200"/>
      <c r="AD125" s="200"/>
      <c r="AE125" s="200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87"/>
      <c r="AZ125" s="198"/>
      <c r="BA125" s="198"/>
      <c r="BB125" s="198"/>
      <c r="BC125" s="198"/>
      <c r="BH125" s="2">
        <v>100</v>
      </c>
    </row>
    <row r="126" spans="1:60" ht="15.75" x14ac:dyDescent="0.25">
      <c r="A126">
        <f t="shared" si="47"/>
        <v>95</v>
      </c>
      <c r="B126" s="186" t="s">
        <v>409</v>
      </c>
      <c r="C126" s="187"/>
      <c r="D126" s="187"/>
      <c r="E126" s="187"/>
      <c r="F126" s="187"/>
      <c r="G126" s="188" t="s">
        <v>401</v>
      </c>
      <c r="H126" s="189" t="s">
        <v>142</v>
      </c>
      <c r="I126" s="190">
        <v>800</v>
      </c>
      <c r="J126" s="190">
        <f t="shared" si="45"/>
        <v>72000</v>
      </c>
      <c r="K126" s="302">
        <v>90</v>
      </c>
      <c r="L126" s="198"/>
      <c r="M126" s="198"/>
      <c r="N126" s="198"/>
      <c r="O126" s="198"/>
      <c r="P126" s="198"/>
      <c r="Q126" s="191"/>
      <c r="R126" s="190"/>
      <c r="S126" s="244">
        <f>+I126/100</f>
        <v>8</v>
      </c>
      <c r="T126" s="244"/>
      <c r="U126" s="244"/>
      <c r="V126" s="244"/>
      <c r="W126" s="244"/>
      <c r="X126" s="200"/>
      <c r="Y126" s="200"/>
      <c r="Z126" s="200"/>
      <c r="AA126" s="200"/>
      <c r="AB126" s="200"/>
      <c r="AC126" s="200"/>
      <c r="AD126" s="200"/>
      <c r="AE126" s="200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87"/>
      <c r="AZ126" s="198"/>
      <c r="BA126" s="198"/>
      <c r="BB126" s="198"/>
      <c r="BC126" s="198"/>
      <c r="BE126" s="2">
        <f>+I126</f>
        <v>800</v>
      </c>
    </row>
    <row r="127" spans="1:60" ht="15.75" x14ac:dyDescent="0.25">
      <c r="A127">
        <f t="shared" si="47"/>
        <v>96</v>
      </c>
      <c r="B127" s="186" t="s">
        <v>410</v>
      </c>
      <c r="C127" s="187"/>
      <c r="D127" s="187"/>
      <c r="E127" s="187"/>
      <c r="F127" s="187"/>
      <c r="G127" s="188" t="s">
        <v>401</v>
      </c>
      <c r="H127" s="189" t="s">
        <v>152</v>
      </c>
      <c r="I127" s="190">
        <v>400</v>
      </c>
      <c r="J127" s="190">
        <f t="shared" si="45"/>
        <v>36000</v>
      </c>
      <c r="K127" s="302">
        <v>90</v>
      </c>
      <c r="L127" s="198"/>
      <c r="M127" s="198"/>
      <c r="N127" s="198"/>
      <c r="O127" s="198"/>
      <c r="P127" s="198"/>
      <c r="Q127" s="191"/>
      <c r="R127" s="190"/>
      <c r="S127" s="244">
        <f>+I127/100</f>
        <v>4</v>
      </c>
      <c r="T127" s="244"/>
      <c r="U127" s="244"/>
      <c r="V127" s="244"/>
      <c r="W127" s="244"/>
      <c r="X127" s="200"/>
      <c r="Y127" s="200"/>
      <c r="Z127" s="200"/>
      <c r="AA127" s="200"/>
      <c r="AB127" s="200"/>
      <c r="AC127" s="200"/>
      <c r="AD127" s="200"/>
      <c r="AE127" s="200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87"/>
      <c r="AZ127" s="198"/>
      <c r="BA127" s="198"/>
      <c r="BB127" s="198"/>
      <c r="BC127" s="198"/>
      <c r="BE127" s="2">
        <f>+I127</f>
        <v>400</v>
      </c>
    </row>
    <row r="128" spans="1:60" ht="15.75" x14ac:dyDescent="0.25">
      <c r="A128">
        <f t="shared" si="47"/>
        <v>97</v>
      </c>
      <c r="B128" s="186" t="s">
        <v>219</v>
      </c>
      <c r="C128" s="187"/>
      <c r="D128" s="187"/>
      <c r="E128" s="187"/>
      <c r="F128" s="187"/>
      <c r="G128" s="188" t="s">
        <v>401</v>
      </c>
      <c r="H128" s="189" t="s">
        <v>210</v>
      </c>
      <c r="I128" s="190">
        <v>400</v>
      </c>
      <c r="J128" s="190">
        <f t="shared" si="45"/>
        <v>36000</v>
      </c>
      <c r="K128" s="302">
        <v>90</v>
      </c>
      <c r="L128" s="198"/>
      <c r="M128" s="198"/>
      <c r="N128" s="198"/>
      <c r="O128" s="198"/>
      <c r="P128" s="198"/>
      <c r="Q128" s="191"/>
      <c r="R128" s="190"/>
      <c r="S128" s="244"/>
      <c r="T128" s="244"/>
      <c r="U128" s="244">
        <v>10</v>
      </c>
      <c r="V128" s="244"/>
      <c r="W128" s="244"/>
      <c r="X128" s="200"/>
      <c r="Y128" s="200"/>
      <c r="Z128" s="200"/>
      <c r="AA128" s="200"/>
      <c r="AB128" s="200"/>
      <c r="AC128" s="200"/>
      <c r="AD128" s="200"/>
      <c r="AE128" s="200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87"/>
      <c r="AZ128" s="198"/>
      <c r="BA128" s="198"/>
      <c r="BB128" s="198"/>
      <c r="BC128" s="198"/>
      <c r="BG128" s="2">
        <f>+I128</f>
        <v>400</v>
      </c>
      <c r="BH128" s="2"/>
    </row>
    <row r="129" spans="1:61" ht="15.75" x14ac:dyDescent="0.25">
      <c r="B129" s="186" t="s">
        <v>411</v>
      </c>
      <c r="C129" s="187"/>
      <c r="D129" s="187"/>
      <c r="E129" s="187"/>
      <c r="F129" s="187"/>
      <c r="G129" s="188" t="s">
        <v>401</v>
      </c>
      <c r="H129" s="189" t="s">
        <v>8</v>
      </c>
      <c r="I129" s="190">
        <v>0</v>
      </c>
      <c r="J129" s="190">
        <f t="shared" si="45"/>
        <v>0</v>
      </c>
      <c r="K129" s="302">
        <v>90</v>
      </c>
      <c r="L129" s="198"/>
      <c r="M129" s="198"/>
      <c r="N129" s="198"/>
      <c r="O129" s="198"/>
      <c r="P129" s="198"/>
      <c r="Q129" s="191"/>
      <c r="R129" s="190"/>
      <c r="S129" s="244">
        <v>3</v>
      </c>
      <c r="T129" s="244"/>
      <c r="U129" s="244"/>
      <c r="V129" s="244"/>
      <c r="W129" s="244"/>
      <c r="X129" s="200"/>
      <c r="Y129" s="200"/>
      <c r="Z129" s="200"/>
      <c r="AA129" s="200"/>
      <c r="AB129" s="200"/>
      <c r="AC129" s="200"/>
      <c r="AD129" s="200"/>
      <c r="AE129" s="200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87"/>
      <c r="AZ129" s="198"/>
      <c r="BA129" s="198"/>
      <c r="BB129" s="198"/>
      <c r="BC129" s="198"/>
      <c r="BE129" s="2">
        <f>+I129</f>
        <v>0</v>
      </c>
    </row>
    <row r="130" spans="1:61" ht="15.75" x14ac:dyDescent="0.25">
      <c r="A130">
        <f>+A128+1</f>
        <v>98</v>
      </c>
      <c r="B130" s="186" t="s">
        <v>412</v>
      </c>
      <c r="C130" s="187"/>
      <c r="D130" s="187"/>
      <c r="E130" s="187"/>
      <c r="F130" s="187"/>
      <c r="G130" s="188" t="s">
        <v>401</v>
      </c>
      <c r="H130" s="189"/>
      <c r="I130" s="190">
        <v>500</v>
      </c>
      <c r="J130" s="190">
        <f t="shared" si="45"/>
        <v>45000</v>
      </c>
      <c r="K130" s="302">
        <v>90</v>
      </c>
      <c r="L130" s="198"/>
      <c r="M130" s="198"/>
      <c r="N130" s="198"/>
      <c r="O130" s="198"/>
      <c r="P130" s="198"/>
      <c r="Q130" s="191"/>
      <c r="R130" s="190"/>
      <c r="S130" s="244">
        <v>7</v>
      </c>
      <c r="T130" s="244"/>
      <c r="U130" s="244"/>
      <c r="V130" s="244"/>
      <c r="W130" s="244"/>
      <c r="X130" s="200"/>
      <c r="Y130" s="200"/>
      <c r="Z130" s="200"/>
      <c r="AA130" s="200"/>
      <c r="AB130" s="200"/>
      <c r="AC130" s="200"/>
      <c r="AD130" s="200"/>
      <c r="AE130" s="200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87"/>
      <c r="AZ130" s="198"/>
      <c r="BA130" s="198"/>
      <c r="BB130" s="198"/>
      <c r="BC130" s="198"/>
      <c r="BE130" s="2">
        <f>+I130</f>
        <v>500</v>
      </c>
    </row>
    <row r="131" spans="1:61" ht="16.5" thickBot="1" x14ac:dyDescent="0.3">
      <c r="B131" s="186"/>
      <c r="C131" s="187"/>
      <c r="D131" s="187"/>
      <c r="E131" s="187"/>
      <c r="F131" s="187"/>
      <c r="G131" s="188"/>
      <c r="H131" s="188"/>
      <c r="I131" s="258">
        <f>SUM(I112:I130)</f>
        <v>11780</v>
      </c>
      <c r="J131" s="190"/>
      <c r="K131" s="191"/>
      <c r="L131" s="198"/>
      <c r="M131" s="198"/>
      <c r="N131" s="198"/>
      <c r="O131" s="198"/>
      <c r="P131" s="198"/>
      <c r="Q131" s="191"/>
      <c r="R131" s="190"/>
      <c r="S131" s="200">
        <f>SUM(S16:S130)</f>
        <v>317.73666666666668</v>
      </c>
      <c r="T131" s="200">
        <f>SUM(T16:T130)</f>
        <v>22.83</v>
      </c>
      <c r="U131" s="200">
        <f>SUM(U16:U130)</f>
        <v>62.14</v>
      </c>
      <c r="V131" s="200">
        <f>SUM(V16:V130)</f>
        <v>17.5</v>
      </c>
      <c r="W131" s="200">
        <f>SUM(W16:W130)</f>
        <v>14.85</v>
      </c>
      <c r="X131" s="200"/>
      <c r="Y131" s="200"/>
      <c r="Z131" s="200"/>
      <c r="AA131" s="200"/>
      <c r="AB131" s="200"/>
      <c r="AC131" s="200"/>
      <c r="AD131" s="200"/>
      <c r="AE131" s="200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303"/>
      <c r="AZ131" s="297"/>
      <c r="BA131" s="297"/>
      <c r="BB131" s="297"/>
      <c r="BC131" s="297"/>
      <c r="BD131" s="290"/>
      <c r="BE131" s="200">
        <f>SUM(BE16:BE130)</f>
        <v>29114.65</v>
      </c>
      <c r="BF131" s="200">
        <f>SUM(BF16:BF130)</f>
        <v>1930.25</v>
      </c>
      <c r="BG131" s="200">
        <f>SUM(BG16:BG130)</f>
        <v>3466.5</v>
      </c>
      <c r="BH131" s="200">
        <f>SUM(BH16:BH130)</f>
        <v>1000</v>
      </c>
      <c r="BI131" s="200">
        <f>SUM(BI16:BI130)</f>
        <v>1233.5999999999999</v>
      </c>
    </row>
    <row r="132" spans="1:61" ht="16.5" thickBot="1" x14ac:dyDescent="0.3">
      <c r="B132" s="186"/>
      <c r="C132" s="187"/>
      <c r="D132" s="187"/>
      <c r="E132" s="187"/>
      <c r="F132" s="187"/>
      <c r="G132" s="188"/>
      <c r="H132" s="188"/>
      <c r="I132" s="190"/>
      <c r="J132" s="190"/>
      <c r="K132" s="191"/>
      <c r="L132" s="198"/>
      <c r="M132" s="198"/>
      <c r="N132" s="198"/>
      <c r="O132" s="198"/>
      <c r="P132" s="198"/>
      <c r="Q132" s="191"/>
      <c r="R132" s="190"/>
      <c r="S132" t="s">
        <v>340</v>
      </c>
      <c r="T132" s="220"/>
      <c r="U132" s="220"/>
      <c r="V132" s="220"/>
      <c r="W132" s="220"/>
      <c r="X132" s="200"/>
      <c r="Y132" s="200"/>
      <c r="Z132" s="200"/>
      <c r="AA132" s="200"/>
      <c r="AB132" s="200"/>
      <c r="AC132" s="200"/>
      <c r="AD132" s="200"/>
      <c r="AE132" s="200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87"/>
      <c r="AZ132" s="198"/>
      <c r="BA132" s="198"/>
      <c r="BB132" s="198"/>
      <c r="BC132" s="198"/>
      <c r="BE132" t="s">
        <v>340</v>
      </c>
      <c r="BF132" s="220"/>
      <c r="BG132" s="220"/>
      <c r="BH132" s="220"/>
      <c r="BI132" s="220"/>
    </row>
    <row r="133" spans="1:61" ht="19.5" thickBot="1" x14ac:dyDescent="0.35">
      <c r="B133" s="301" t="s">
        <v>413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233" t="s">
        <v>351</v>
      </c>
      <c r="T133" s="233" t="s">
        <v>352</v>
      </c>
      <c r="U133" s="233" t="s">
        <v>353</v>
      </c>
      <c r="V133" s="233" t="s">
        <v>354</v>
      </c>
      <c r="W133" s="233" t="s">
        <v>355</v>
      </c>
      <c r="X133" s="234" t="s">
        <v>356</v>
      </c>
      <c r="Y133" s="234" t="s">
        <v>357</v>
      </c>
      <c r="Z133" s="234" t="s">
        <v>358</v>
      </c>
      <c r="AA133" s="234" t="s">
        <v>359</v>
      </c>
      <c r="AB133" s="234" t="s">
        <v>360</v>
      </c>
      <c r="AC133" s="234" t="s">
        <v>361</v>
      </c>
      <c r="AD133" s="234" t="s">
        <v>362</v>
      </c>
      <c r="AE133" s="235" t="s">
        <v>363</v>
      </c>
      <c r="AF133" s="236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8"/>
      <c r="AX133" s="239"/>
      <c r="AY133" s="240"/>
      <c r="AZ133" s="241"/>
      <c r="BA133" s="241"/>
      <c r="BB133" s="241"/>
      <c r="BC133" s="242" t="s">
        <v>364</v>
      </c>
      <c r="BE133" s="233" t="s">
        <v>351</v>
      </c>
      <c r="BF133" s="233" t="s">
        <v>352</v>
      </c>
      <c r="BG133" s="233" t="s">
        <v>353</v>
      </c>
      <c r="BH133" s="233" t="s">
        <v>354</v>
      </c>
      <c r="BI133" s="233" t="s">
        <v>365</v>
      </c>
    </row>
    <row r="134" spans="1:61" x14ac:dyDescent="0.25">
      <c r="B134" s="198" t="s">
        <v>414</v>
      </c>
      <c r="C134" s="198"/>
      <c r="D134" s="198"/>
      <c r="E134" s="198"/>
      <c r="F134" s="198"/>
      <c r="G134" s="201" t="s">
        <v>375</v>
      </c>
      <c r="H134" s="198"/>
      <c r="I134" s="201"/>
      <c r="J134" s="198"/>
      <c r="K134" s="198"/>
      <c r="L134" s="198"/>
      <c r="M134" s="198"/>
      <c r="N134" s="198"/>
      <c r="O134" s="198"/>
      <c r="P134" s="198"/>
      <c r="Q134" s="198"/>
      <c r="R134" s="198"/>
      <c r="S134" s="304"/>
      <c r="T134" s="304"/>
      <c r="U134" s="304"/>
      <c r="V134" s="304"/>
      <c r="W134" s="304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</row>
    <row r="135" spans="1:61" x14ac:dyDescent="0.25">
      <c r="B135" s="305" t="s">
        <v>415</v>
      </c>
      <c r="C135" s="198"/>
      <c r="D135" s="198"/>
      <c r="E135" s="198"/>
      <c r="F135" s="198"/>
      <c r="G135" s="201" t="s">
        <v>416</v>
      </c>
      <c r="H135" s="198"/>
      <c r="I135" s="306"/>
      <c r="J135" s="198"/>
      <c r="K135" s="198"/>
      <c r="L135" s="198"/>
      <c r="M135" s="198"/>
      <c r="N135" s="198"/>
      <c r="O135" s="198"/>
      <c r="P135" s="198"/>
      <c r="Q135" s="198"/>
      <c r="R135" s="198"/>
      <c r="S135" s="304"/>
      <c r="T135" s="304"/>
      <c r="U135" s="304"/>
      <c r="V135" s="304"/>
      <c r="W135" s="304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</row>
    <row r="136" spans="1:61" x14ac:dyDescent="0.25">
      <c r="B136" s="198" t="s">
        <v>116</v>
      </c>
      <c r="C136" s="198"/>
      <c r="D136" s="198"/>
      <c r="E136" s="198"/>
      <c r="F136" s="198"/>
      <c r="G136" s="201" t="s">
        <v>416</v>
      </c>
      <c r="H136" s="198"/>
      <c r="I136" s="201">
        <v>500</v>
      </c>
      <c r="J136" s="198"/>
      <c r="K136" s="198"/>
      <c r="L136" s="198"/>
      <c r="M136" s="198"/>
      <c r="N136" s="198"/>
      <c r="O136" s="198"/>
      <c r="P136" s="198"/>
      <c r="Q136" s="198"/>
      <c r="R136" s="198"/>
      <c r="S136" s="304"/>
      <c r="T136" s="304"/>
      <c r="U136" s="304"/>
      <c r="V136" s="304"/>
      <c r="W136" s="304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</row>
    <row r="137" spans="1:61" x14ac:dyDescent="0.25">
      <c r="B137" s="198" t="s">
        <v>70</v>
      </c>
      <c r="C137" s="198"/>
      <c r="D137" s="198"/>
      <c r="E137" s="198"/>
      <c r="F137" s="198"/>
      <c r="G137" s="201" t="s">
        <v>416</v>
      </c>
      <c r="H137" s="198"/>
      <c r="I137" s="201">
        <v>500</v>
      </c>
      <c r="J137" s="198"/>
      <c r="K137" s="198"/>
      <c r="L137" s="198"/>
      <c r="M137" s="198"/>
      <c r="N137" s="198"/>
      <c r="O137" s="198"/>
      <c r="P137" s="198"/>
      <c r="Q137" s="198"/>
      <c r="R137" s="198"/>
      <c r="S137" s="304"/>
      <c r="T137" s="304"/>
      <c r="U137" s="304"/>
      <c r="V137" s="304"/>
      <c r="W137" s="304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</row>
    <row r="138" spans="1:61" x14ac:dyDescent="0.25">
      <c r="B138" s="198" t="s">
        <v>172</v>
      </c>
      <c r="C138" s="198"/>
      <c r="D138" s="198"/>
      <c r="E138" s="198"/>
      <c r="F138" s="198"/>
      <c r="G138" s="201" t="s">
        <v>416</v>
      </c>
      <c r="H138" s="198"/>
      <c r="I138" s="201">
        <v>500</v>
      </c>
      <c r="J138" s="198"/>
      <c r="K138" s="198"/>
      <c r="L138" s="198"/>
      <c r="M138" s="198"/>
      <c r="N138" s="198"/>
      <c r="O138" s="198"/>
      <c r="P138" s="198"/>
      <c r="Q138" s="198"/>
      <c r="R138" s="198"/>
      <c r="S138" s="304"/>
      <c r="T138" s="304"/>
      <c r="U138" s="304"/>
      <c r="V138" s="304"/>
      <c r="W138" s="304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</row>
    <row r="139" spans="1:61" x14ac:dyDescent="0.25">
      <c r="B139" s="198" t="s">
        <v>84</v>
      </c>
      <c r="C139" s="198"/>
      <c r="D139" s="198"/>
      <c r="E139" s="198"/>
      <c r="F139" s="198"/>
      <c r="G139" s="201" t="s">
        <v>416</v>
      </c>
      <c r="H139" s="198"/>
      <c r="I139" s="201">
        <v>500</v>
      </c>
      <c r="J139" s="198"/>
      <c r="K139" s="198"/>
      <c r="L139" s="198"/>
      <c r="M139" s="198"/>
      <c r="N139" s="198"/>
      <c r="O139" s="198"/>
      <c r="P139" s="198"/>
      <c r="Q139" s="198"/>
      <c r="R139" s="198"/>
      <c r="S139" s="304"/>
      <c r="T139" s="304"/>
      <c r="U139" s="304"/>
      <c r="V139" s="304"/>
      <c r="W139" s="304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</row>
    <row r="140" spans="1:61" x14ac:dyDescent="0.25">
      <c r="B140" s="198" t="s">
        <v>8</v>
      </c>
      <c r="C140" s="198"/>
      <c r="D140" s="198"/>
      <c r="E140" s="198"/>
      <c r="F140" s="198"/>
      <c r="G140" s="201" t="s">
        <v>416</v>
      </c>
      <c r="H140" s="198"/>
      <c r="I140" s="201">
        <v>900</v>
      </c>
      <c r="J140" s="198"/>
      <c r="K140" s="198"/>
      <c r="L140" s="198"/>
      <c r="M140" s="198"/>
      <c r="N140" s="198"/>
      <c r="O140" s="198"/>
      <c r="P140" s="198"/>
      <c r="Q140" s="198"/>
      <c r="R140" s="198"/>
      <c r="S140" s="304"/>
      <c r="T140" s="304"/>
      <c r="U140" s="304"/>
      <c r="V140" s="304"/>
      <c r="W140" s="304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</row>
    <row r="141" spans="1:61" x14ac:dyDescent="0.25">
      <c r="B141" s="198" t="s">
        <v>187</v>
      </c>
      <c r="C141" s="198"/>
      <c r="D141" s="198"/>
      <c r="E141" s="198"/>
      <c r="F141" s="198"/>
      <c r="G141" s="201" t="s">
        <v>416</v>
      </c>
      <c r="H141" s="198"/>
      <c r="I141" s="201">
        <v>500</v>
      </c>
      <c r="J141" s="198"/>
      <c r="K141" s="198"/>
      <c r="L141" s="198"/>
      <c r="M141" s="198"/>
      <c r="N141" s="198"/>
      <c r="O141" s="198"/>
      <c r="P141" s="198"/>
      <c r="Q141" s="198"/>
      <c r="R141" s="198"/>
      <c r="S141" s="304"/>
      <c r="T141" s="304"/>
      <c r="U141" s="304"/>
      <c r="V141" s="304"/>
      <c r="W141" s="304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</row>
    <row r="142" spans="1:61" x14ac:dyDescent="0.25">
      <c r="B142" s="198" t="s">
        <v>417</v>
      </c>
      <c r="C142" s="198"/>
      <c r="D142" s="198"/>
      <c r="E142" s="198"/>
      <c r="F142" s="198"/>
      <c r="G142" s="201" t="s">
        <v>416</v>
      </c>
      <c r="H142" s="198"/>
      <c r="I142" s="201">
        <v>500</v>
      </c>
      <c r="J142" s="198"/>
      <c r="K142" s="198"/>
      <c r="L142" s="198"/>
      <c r="M142" s="198"/>
      <c r="N142" s="198"/>
      <c r="O142" s="198"/>
      <c r="P142" s="198"/>
      <c r="Q142" s="198"/>
      <c r="R142" s="198"/>
      <c r="S142" s="304"/>
      <c r="T142" s="304"/>
      <c r="U142" s="304"/>
      <c r="V142" s="304"/>
      <c r="W142" s="304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</row>
    <row r="143" spans="1:61" x14ac:dyDescent="0.25">
      <c r="B143" s="198" t="s">
        <v>41</v>
      </c>
      <c r="C143" s="198"/>
      <c r="D143" s="198"/>
      <c r="E143" s="198"/>
      <c r="F143" s="198"/>
      <c r="G143" s="201" t="s">
        <v>416</v>
      </c>
      <c r="H143" s="198"/>
      <c r="I143" s="201">
        <v>250</v>
      </c>
      <c r="J143" s="198"/>
      <c r="K143" s="198"/>
      <c r="L143" s="198"/>
      <c r="M143" s="198"/>
      <c r="N143" s="198"/>
      <c r="O143" s="198"/>
      <c r="P143" s="198"/>
      <c r="Q143" s="198"/>
      <c r="R143" s="198"/>
      <c r="S143" s="304"/>
      <c r="T143" s="304"/>
      <c r="U143" s="304"/>
      <c r="V143" s="304"/>
      <c r="W143" s="304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</row>
    <row r="144" spans="1:61" x14ac:dyDescent="0.25">
      <c r="B144" s="198" t="s">
        <v>228</v>
      </c>
      <c r="C144" s="198"/>
      <c r="D144" s="198"/>
      <c r="E144" s="198"/>
      <c r="F144" s="198"/>
      <c r="G144" s="201" t="s">
        <v>416</v>
      </c>
      <c r="H144" s="198"/>
      <c r="I144" s="201">
        <v>300</v>
      </c>
      <c r="J144" s="198"/>
      <c r="K144" s="198"/>
      <c r="L144" s="198"/>
      <c r="M144" s="198"/>
      <c r="N144" s="198"/>
      <c r="O144" s="198"/>
      <c r="P144" s="198"/>
      <c r="Q144" s="198"/>
      <c r="R144" s="198"/>
      <c r="S144" s="304"/>
      <c r="T144" s="304"/>
      <c r="U144" s="304"/>
      <c r="V144" s="304"/>
      <c r="W144" s="304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</row>
    <row r="145" spans="2:62" x14ac:dyDescent="0.25">
      <c r="B145" s="198"/>
      <c r="C145" s="198"/>
      <c r="D145" s="198"/>
      <c r="E145" s="198"/>
      <c r="F145" s="198"/>
      <c r="G145" s="198"/>
      <c r="H145" s="198"/>
      <c r="I145" s="258">
        <f>SUM(I134:I144)</f>
        <v>4450</v>
      </c>
      <c r="J145" s="198"/>
      <c r="K145" s="198"/>
      <c r="L145" s="198"/>
      <c r="M145" s="198"/>
      <c r="N145" s="198"/>
      <c r="O145" s="198"/>
      <c r="P145" s="198"/>
      <c r="Q145" s="198"/>
      <c r="R145" s="198"/>
      <c r="S145" s="304"/>
      <c r="T145" s="304"/>
      <c r="U145" s="304"/>
      <c r="V145" s="304"/>
      <c r="W145" s="304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E145" s="2">
        <f>+I145</f>
        <v>4450</v>
      </c>
    </row>
    <row r="146" spans="2:62" x14ac:dyDescent="0.25"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304"/>
      <c r="T146" s="304"/>
      <c r="U146" s="304"/>
      <c r="V146" s="304"/>
      <c r="W146" s="304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</row>
    <row r="147" spans="2:62" x14ac:dyDescent="0.25"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304"/>
      <c r="T147" s="304"/>
      <c r="U147" s="304"/>
      <c r="V147" s="304"/>
      <c r="W147" s="304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</row>
    <row r="148" spans="2:62" ht="19.5" thickBot="1" x14ac:dyDescent="0.35">
      <c r="B148" s="307" t="s">
        <v>418</v>
      </c>
      <c r="C148" s="198"/>
      <c r="D148" s="198"/>
      <c r="E148" s="198"/>
      <c r="F148" s="198"/>
      <c r="G148" s="198"/>
      <c r="H148" s="198"/>
      <c r="I148" s="308">
        <f>+I110+I131+I145</f>
        <v>41095</v>
      </c>
      <c r="J148" s="198"/>
      <c r="K148" s="198"/>
      <c r="L148" s="198"/>
      <c r="M148" s="198"/>
      <c r="N148" s="198"/>
      <c r="O148" s="198"/>
      <c r="P148" s="198"/>
      <c r="Q148" s="198"/>
      <c r="R148" s="198"/>
      <c r="S148" s="304"/>
      <c r="T148" s="304"/>
      <c r="U148" s="304"/>
      <c r="V148" s="304"/>
      <c r="W148" s="304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</row>
    <row r="149" spans="2:62" x14ac:dyDescent="0.25"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t="s">
        <v>340</v>
      </c>
      <c r="T149" s="220"/>
      <c r="U149" s="220"/>
      <c r="V149" s="220"/>
      <c r="W149" s="220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</row>
    <row r="150" spans="2:62" ht="15.75" thickBot="1" x14ac:dyDescent="0.3"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233" t="s">
        <v>351</v>
      </c>
      <c r="T150" s="233" t="s">
        <v>352</v>
      </c>
      <c r="U150" s="233" t="s">
        <v>353</v>
      </c>
      <c r="V150" s="233" t="s">
        <v>354</v>
      </c>
      <c r="W150" s="233" t="s">
        <v>355</v>
      </c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E150" s="2">
        <f>+BE131+BE145</f>
        <v>33564.65</v>
      </c>
      <c r="BF150" s="2">
        <f>+BF131+BF145</f>
        <v>1930.25</v>
      </c>
      <c r="BG150" s="2">
        <f>+BG131+BG145</f>
        <v>3466.5</v>
      </c>
      <c r="BH150" s="2">
        <f>+BH131+BH145</f>
        <v>1000</v>
      </c>
      <c r="BI150" s="2">
        <f>+BI131+BI145</f>
        <v>1233.5999999999999</v>
      </c>
      <c r="BJ150" s="2">
        <f>+BE150+BF150+BG150+BH150+BI150</f>
        <v>41195</v>
      </c>
    </row>
    <row r="151" spans="2:62" x14ac:dyDescent="0.25">
      <c r="S151" s="309">
        <f>+S131</f>
        <v>317.73666666666668</v>
      </c>
      <c r="T151" s="309">
        <f>+T131</f>
        <v>22.83</v>
      </c>
      <c r="U151" s="309">
        <f>+U131</f>
        <v>62.14</v>
      </c>
      <c r="V151" s="309">
        <f>+V131</f>
        <v>17.5</v>
      </c>
      <c r="W151" s="309">
        <f>+W131</f>
        <v>14.85</v>
      </c>
      <c r="BE151" s="310"/>
      <c r="BG151" s="310">
        <f>+(BG150+BH150)/BJ150</f>
        <v>0.10842335234858599</v>
      </c>
      <c r="BH151" s="310">
        <f>+BH150/BJ150</f>
        <v>2.4274790629930817E-2</v>
      </c>
    </row>
    <row r="152" spans="2:62" x14ac:dyDescent="0.25">
      <c r="S152" s="2">
        <f>+S151+T151+U151+W151</f>
        <v>417.55666666666667</v>
      </c>
      <c r="T152" s="310"/>
      <c r="V152" s="311">
        <f>+V151/S152</f>
        <v>4.1910479216393785E-2</v>
      </c>
    </row>
    <row r="153" spans="2:62" x14ac:dyDescent="0.25">
      <c r="B153" t="s">
        <v>419</v>
      </c>
    </row>
    <row r="154" spans="2:62" ht="15.75" thickBot="1" x14ac:dyDescent="0.3"/>
    <row r="155" spans="2:62" x14ac:dyDescent="0.25">
      <c r="S155" t="s">
        <v>340</v>
      </c>
      <c r="T155" s="220"/>
      <c r="U155" s="220"/>
      <c r="V155" s="220"/>
      <c r="W155" s="220"/>
    </row>
    <row r="156" spans="2:62" ht="15.75" thickBot="1" x14ac:dyDescent="0.3">
      <c r="S156" s="233" t="s">
        <v>351</v>
      </c>
      <c r="T156" s="233" t="s">
        <v>352</v>
      </c>
      <c r="U156" s="233" t="s">
        <v>420</v>
      </c>
      <c r="V156" s="233"/>
      <c r="W156" s="233" t="s">
        <v>365</v>
      </c>
    </row>
    <row r="157" spans="2:62" x14ac:dyDescent="0.25">
      <c r="S157" t="s">
        <v>421</v>
      </c>
    </row>
    <row r="158" spans="2:62" x14ac:dyDescent="0.25">
      <c r="S158" t="s">
        <v>422</v>
      </c>
    </row>
    <row r="159" spans="2:62" x14ac:dyDescent="0.25">
      <c r="S159" t="s">
        <v>423</v>
      </c>
    </row>
    <row r="160" spans="2:62" x14ac:dyDescent="0.25">
      <c r="S160" t="s">
        <v>424</v>
      </c>
    </row>
  </sheetData>
  <pageMargins left="0.7" right="0.7" top="0.75" bottom="0.75" header="0.3" footer="0.3"/>
  <pageSetup paperSize="8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E7729A-C031-4E53-B889-C932EC6C87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1A8BD-B5C8-4F7C-953C-3D0F8F9411E6}">
  <ds:schemaRefs>
    <ds:schemaRef ds:uri="abbeec68-b05e-4e2e-88e5-2ac3e13fe809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243b5e7-41d8-484d-9560-eb57cd51e4e0"/>
    <ds:schemaRef ds:uri="http://schemas.microsoft.com/office/2006/metadata/properties"/>
    <ds:schemaRef ds:uri="http://purl.org/dc/terms/"/>
    <ds:schemaRef ds:uri="http://schemas.microsoft.com/office/infopath/2007/PartnerControls"/>
    <ds:schemaRef ds:uri="73ca341d-af13-4715-84c1-2c839bb29ebb"/>
    <ds:schemaRef ds:uri="2cf7a10c-b9dc-432b-9424-3bf6913679d9"/>
    <ds:schemaRef ds:uri="14bfd2bb-3d4a-4549-9197-f3410a8da64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6C51CE-3A69-4623-9E90-07F8C4342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YFIRLIT HELSTU SVÆDI</vt:lpstr>
      <vt:lpstr>YFIRLIT RVK</vt:lpstr>
      <vt:lpstr>RVK ÍBUDARHUSNÆDI</vt:lpstr>
      <vt:lpstr>RVK ANNAD HUSNÆDI</vt:lpstr>
      <vt:lpstr>RVK SVÆDI</vt:lpstr>
      <vt:lpstr>RVK ÍB20</vt:lpstr>
      <vt:lpstr>RVK AT20</vt:lpstr>
      <vt:lpstr>RVK ÍB19</vt:lpstr>
      <vt:lpstr>'RVK ÍB19'!Print_Area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Samúel Torfi Pétursson</dc:creator>
  <cp:lastModifiedBy>Sandra Björgvinsdóttir</cp:lastModifiedBy>
  <cp:lastPrinted>2022-04-06T08:25:16Z</cp:lastPrinted>
  <dcterms:created xsi:type="dcterms:W3CDTF">2020-11-11T16:00:11Z</dcterms:created>
  <dcterms:modified xsi:type="dcterms:W3CDTF">2022-04-06T08:26:37Z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  <property fmtid="{D5CDD505-2E9C-101B-9397-08002B2CF9AE}" pid="3" name="Order">
    <vt:r8>13600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